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ctu_Math_KSU\Actu_468\practice with excel\"/>
    </mc:Choice>
  </mc:AlternateContent>
  <bookViews>
    <workbookView xWindow="120" yWindow="150" windowWidth="15255" windowHeight="7935" activeTab="3"/>
  </bookViews>
  <sheets>
    <sheet name="Mid2_P1" sheetId="2" r:id="rId1"/>
    <sheet name="currency" sheetId="5" r:id="rId2"/>
    <sheet name="HK1" sheetId="3" r:id="rId3"/>
    <sheet name="HK2" sheetId="7" r:id="rId4"/>
  </sheets>
  <calcPr calcId="152511"/>
</workbook>
</file>

<file path=xl/calcChain.xml><?xml version="1.0" encoding="utf-8"?>
<calcChain xmlns="http://schemas.openxmlformats.org/spreadsheetml/2006/main">
  <c r="B65" i="7" l="1"/>
  <c r="B61" i="7" l="1"/>
  <c r="B64" i="7"/>
  <c r="B63" i="7"/>
  <c r="B71" i="7"/>
  <c r="B59" i="7" l="1"/>
  <c r="C70" i="7" s="1"/>
  <c r="D69" i="7" s="1"/>
  <c r="E68" i="7" s="1"/>
  <c r="I68" i="7" s="1"/>
  <c r="B34" i="7"/>
  <c r="D32" i="7" s="1"/>
  <c r="B35" i="7"/>
  <c r="B37" i="7"/>
  <c r="B36" i="7"/>
  <c r="B43" i="7"/>
  <c r="B33" i="7"/>
  <c r="B8" i="7"/>
  <c r="B7" i="7"/>
  <c r="B13" i="7"/>
  <c r="B60" i="7" l="1"/>
  <c r="C72" i="7" s="1"/>
  <c r="D73" i="7" s="1"/>
  <c r="D71" i="7"/>
  <c r="E70" i="7" s="1"/>
  <c r="I70" i="7" s="1"/>
  <c r="D57" i="7"/>
  <c r="C44" i="7"/>
  <c r="D45" i="7" s="1"/>
  <c r="D29" i="7"/>
  <c r="E32" i="7"/>
  <c r="C42" i="7"/>
  <c r="D41" i="7" s="1"/>
  <c r="E40" i="7" s="1"/>
  <c r="I40" i="7" s="1"/>
  <c r="D43" i="7"/>
  <c r="E42" i="7" s="1"/>
  <c r="I42" i="7" s="1"/>
  <c r="E6" i="7"/>
  <c r="D6" i="7"/>
  <c r="D3" i="7"/>
  <c r="C14" i="7"/>
  <c r="D13" i="7" s="1"/>
  <c r="H13" i="7" s="1"/>
  <c r="C12" i="7"/>
  <c r="E5" i="3"/>
  <c r="D5" i="3"/>
  <c r="G3" i="3"/>
  <c r="H4" i="3" s="1"/>
  <c r="B10" i="3"/>
  <c r="C9" i="3" s="1"/>
  <c r="D8" i="3" s="1"/>
  <c r="E7" i="3" s="1"/>
  <c r="F6" i="3" s="1"/>
  <c r="M6" i="3" s="1"/>
  <c r="D2" i="3"/>
  <c r="H69" i="7" l="1"/>
  <c r="H70" i="7" s="1"/>
  <c r="E74" i="7"/>
  <c r="I74" i="7" s="1"/>
  <c r="E72" i="7"/>
  <c r="I72" i="7" s="1"/>
  <c r="H73" i="7" s="1"/>
  <c r="H74" i="7" s="1"/>
  <c r="D50" i="7"/>
  <c r="H41" i="7"/>
  <c r="E44" i="7"/>
  <c r="I44" i="7" s="1"/>
  <c r="H43" i="7" s="1"/>
  <c r="E46" i="7"/>
  <c r="I46" i="7" s="1"/>
  <c r="D15" i="7"/>
  <c r="H15" i="7" s="1"/>
  <c r="G14" i="7" s="1"/>
  <c r="G15" i="7" s="1"/>
  <c r="D11" i="7"/>
  <c r="H11" i="7" s="1"/>
  <c r="H2" i="3"/>
  <c r="C11" i="3"/>
  <c r="M4" i="3" s="1"/>
  <c r="L3" i="3" s="1"/>
  <c r="M2" i="3"/>
  <c r="B8" i="5"/>
  <c r="H71" i="7" l="1"/>
  <c r="G70" i="7" s="1"/>
  <c r="G71" i="7" s="1"/>
  <c r="H50" i="7"/>
  <c r="D83" i="7"/>
  <c r="D79" i="7"/>
  <c r="D81" i="7"/>
  <c r="H44" i="7"/>
  <c r="C51" i="7"/>
  <c r="D52" i="7"/>
  <c r="H52" i="7" s="1"/>
  <c r="H42" i="7"/>
  <c r="G42" i="7"/>
  <c r="D54" i="7"/>
  <c r="H45" i="7"/>
  <c r="H46" i="7" s="1"/>
  <c r="C22" i="7"/>
  <c r="E22" i="7" s="1"/>
  <c r="G12" i="7"/>
  <c r="C20" i="7"/>
  <c r="D10" i="3"/>
  <c r="E9" i="3" s="1"/>
  <c r="F8" i="3" s="1"/>
  <c r="M8" i="3" s="1"/>
  <c r="D12" i="3"/>
  <c r="D3" i="2"/>
  <c r="B14" i="5"/>
  <c r="B9" i="5"/>
  <c r="C5" i="5" s="1"/>
  <c r="B15" i="2"/>
  <c r="H72" i="7" l="1"/>
  <c r="G72" i="7"/>
  <c r="G73" i="7" s="1"/>
  <c r="L7" i="3"/>
  <c r="E16" i="3"/>
  <c r="H79" i="7"/>
  <c r="D78" i="7" s="1"/>
  <c r="C80" i="7"/>
  <c r="H81" i="7"/>
  <c r="D80" i="7" s="1"/>
  <c r="C82" i="7"/>
  <c r="H83" i="7"/>
  <c r="D82" i="7" s="1"/>
  <c r="F13" i="7"/>
  <c r="F14" i="7" s="1"/>
  <c r="G13" i="7"/>
  <c r="G43" i="7"/>
  <c r="C53" i="7"/>
  <c r="G44" i="7"/>
  <c r="G45" i="7" s="1"/>
  <c r="H54" i="7"/>
  <c r="G51" i="7"/>
  <c r="B21" i="7"/>
  <c r="E20" i="7"/>
  <c r="E11" i="3"/>
  <c r="F10" i="3" s="1"/>
  <c r="M10" i="3" s="1"/>
  <c r="E13" i="3"/>
  <c r="C5" i="2"/>
  <c r="D5" i="2" s="1"/>
  <c r="D3" i="5"/>
  <c r="D5" i="5" s="1"/>
  <c r="C13" i="5"/>
  <c r="D12" i="5" s="1"/>
  <c r="E11" i="5" s="1"/>
  <c r="J11" i="5" s="1"/>
  <c r="H3" i="2"/>
  <c r="C14" i="2"/>
  <c r="D13" i="2" s="1"/>
  <c r="E12" i="2" s="1"/>
  <c r="J12" i="2" s="1"/>
  <c r="C16" i="2"/>
  <c r="F71" i="7" l="1"/>
  <c r="F72" i="7" s="1"/>
  <c r="L11" i="3"/>
  <c r="L9" i="3"/>
  <c r="D21" i="7"/>
  <c r="I16" i="3"/>
  <c r="D17" i="3"/>
  <c r="E18" i="3"/>
  <c r="G53" i="7"/>
  <c r="B52" i="7"/>
  <c r="F43" i="7"/>
  <c r="F44" i="7" s="1"/>
  <c r="G82" i="7"/>
  <c r="C81" i="7" s="1"/>
  <c r="G80" i="7"/>
  <c r="C79" i="7" s="1"/>
  <c r="B81" i="7"/>
  <c r="F14" i="3"/>
  <c r="M14" i="3" s="1"/>
  <c r="F12" i="3"/>
  <c r="M12" i="3" s="1"/>
  <c r="C15" i="5"/>
  <c r="I3" i="2"/>
  <c r="D17" i="2"/>
  <c r="D15" i="2"/>
  <c r="E14" i="2" s="1"/>
  <c r="J14" i="2" s="1"/>
  <c r="D19" i="3" l="1"/>
  <c r="I18" i="3"/>
  <c r="K10" i="3"/>
  <c r="K8" i="3"/>
  <c r="D21" i="3"/>
  <c r="E22" i="3"/>
  <c r="L13" i="3"/>
  <c r="E20" i="3"/>
  <c r="I20" i="3" s="1"/>
  <c r="F52" i="7"/>
  <c r="F81" i="7"/>
  <c r="B80" i="7" s="1"/>
  <c r="D14" i="5"/>
  <c r="E13" i="5" s="1"/>
  <c r="J13" i="5" s="1"/>
  <c r="D16" i="5"/>
  <c r="I13" i="2"/>
  <c r="E18" i="2"/>
  <c r="J18" i="2" s="1"/>
  <c r="E16" i="2"/>
  <c r="J16" i="2" s="1"/>
  <c r="H19" i="3" l="1"/>
  <c r="H17" i="3"/>
  <c r="J9" i="3"/>
  <c r="C18" i="3"/>
  <c r="I12" i="5"/>
  <c r="C24" i="5"/>
  <c r="I22" i="3"/>
  <c r="K12" i="3"/>
  <c r="H21" i="3" s="1"/>
  <c r="E17" i="5"/>
  <c r="J17" i="5" s="1"/>
  <c r="E15" i="5"/>
  <c r="J15" i="5" s="1"/>
  <c r="C28" i="5" s="1"/>
  <c r="I17" i="2"/>
  <c r="I15" i="2"/>
  <c r="C26" i="5" l="1"/>
  <c r="C20" i="5"/>
  <c r="F24" i="5"/>
  <c r="J11" i="3"/>
  <c r="G20" i="3" s="1"/>
  <c r="C20" i="3"/>
  <c r="G18" i="3"/>
  <c r="B19" i="3"/>
  <c r="I10" i="3"/>
  <c r="H14" i="2"/>
  <c r="C25" i="2"/>
  <c r="C23" i="2"/>
  <c r="I16" i="5"/>
  <c r="F28" i="5" s="1"/>
  <c r="I14" i="5"/>
  <c r="H16" i="2"/>
  <c r="F19" i="3" l="1"/>
  <c r="G15" i="2"/>
  <c r="D22" i="2" s="1"/>
  <c r="F25" i="2"/>
  <c r="C22" i="5"/>
  <c r="F26" i="5"/>
  <c r="F23" i="2"/>
  <c r="B22" i="2"/>
  <c r="H15" i="5"/>
  <c r="F22" i="5" s="1"/>
  <c r="H13" i="5"/>
  <c r="F20" i="5" s="1"/>
  <c r="B19" i="5" l="1"/>
  <c r="G14" i="5"/>
  <c r="D19" i="5" s="1"/>
</calcChain>
</file>

<file path=xl/sharedStrings.xml><?xml version="1.0" encoding="utf-8"?>
<sst xmlns="http://schemas.openxmlformats.org/spreadsheetml/2006/main" count="184" uniqueCount="82">
  <si>
    <t xml:space="preserve">Input parameters </t>
  </si>
  <si>
    <t>current price S_0</t>
  </si>
  <si>
    <t>strike price K</t>
  </si>
  <si>
    <t>Volatility sigma</t>
  </si>
  <si>
    <t>Maturity T</t>
  </si>
  <si>
    <t>call-put parity</t>
  </si>
  <si>
    <t>C_0</t>
  </si>
  <si>
    <t>P_0</t>
  </si>
  <si>
    <t>u</t>
  </si>
  <si>
    <t>d</t>
  </si>
  <si>
    <t>risk-free domestic rate r</t>
  </si>
  <si>
    <t xml:space="preserve">Output parameters </t>
  </si>
  <si>
    <t>Time steep h</t>
  </si>
  <si>
    <t>risk-free foreign rate r_f</t>
  </si>
  <si>
    <t>Currency tree</t>
  </si>
  <si>
    <t>Option tree</t>
  </si>
  <si>
    <t>a</t>
  </si>
  <si>
    <t>q</t>
  </si>
  <si>
    <t>2-months steep 6-months European call option</t>
  </si>
  <si>
    <t>2-months steep 6-months stock tree</t>
  </si>
  <si>
    <t>risk-free foreign rate r_f
Or dividend q</t>
  </si>
  <si>
    <t>BLACK-SCHOLES MODEL</t>
  </si>
  <si>
    <t>Consider a put option with K=12</t>
  </si>
  <si>
    <t>T=3</t>
  </si>
  <si>
    <t>T=0</t>
  </si>
  <si>
    <t>T=1</t>
  </si>
  <si>
    <t>T=2</t>
  </si>
  <si>
    <t>Put Option tree</t>
  </si>
  <si>
    <t>stock tree</t>
  </si>
  <si>
    <t>(Alpha_0,Delta_0)</t>
  </si>
  <si>
    <t>Delta_0</t>
  </si>
  <si>
    <t>Alpha_0</t>
  </si>
  <si>
    <t>(Alpha_1,Delta_1)</t>
  </si>
  <si>
    <t>(Alpha_2,Delta_2)</t>
  </si>
  <si>
    <t>Delta_1</t>
  </si>
  <si>
    <t>Delta_1^u</t>
  </si>
  <si>
    <t>Delta_1^d</t>
  </si>
  <si>
    <t>Alpha_1</t>
  </si>
  <si>
    <t>Alpha_1^u</t>
  </si>
  <si>
    <t>Alpha_1^d</t>
  </si>
  <si>
    <t>Delta_2</t>
  </si>
  <si>
    <t>Delta_2^uu</t>
  </si>
  <si>
    <t>Delta_2^dd</t>
  </si>
  <si>
    <t>Alpha_2^uu</t>
  </si>
  <si>
    <t>Alpha_2</t>
  </si>
  <si>
    <t>Alpha_2^ud</t>
  </si>
  <si>
    <t>Alpha_2^dd</t>
  </si>
  <si>
    <t>S_0</t>
  </si>
  <si>
    <t>K</t>
  </si>
  <si>
    <t>r</t>
  </si>
  <si>
    <t>inputs</t>
  </si>
  <si>
    <t>out puts</t>
  </si>
  <si>
    <t>stock</t>
  </si>
  <si>
    <t>put option</t>
  </si>
  <si>
    <t>h</t>
  </si>
  <si>
    <t>NAC</t>
  </si>
  <si>
    <t>Delta</t>
  </si>
  <si>
    <t>Alpha</t>
  </si>
  <si>
    <t>put option tree</t>
  </si>
  <si>
    <t xml:space="preserve">Assume you bought 1000 put options </t>
  </si>
  <si>
    <t>At time zero the investor short sells 294 shares of the stock at 50. 
And invest 294.4182*50+13.9985*1000=28719.41</t>
  </si>
  <si>
    <t>t=0</t>
  </si>
  <si>
    <t>t=1</t>
  </si>
  <si>
    <t>t=2</t>
  </si>
  <si>
    <t>Problem1 Q1 and Q2</t>
  </si>
  <si>
    <t>Problem1 Q3</t>
  </si>
  <si>
    <t>T</t>
  </si>
  <si>
    <t>r_d</t>
  </si>
  <si>
    <t>r_e</t>
  </si>
  <si>
    <t>t=3/12</t>
  </si>
  <si>
    <t>t=6/12</t>
  </si>
  <si>
    <t>t=9/12</t>
  </si>
  <si>
    <t>stands for the american put option</t>
  </si>
  <si>
    <t>Problem 2 Q1</t>
  </si>
  <si>
    <t>sigma volatility</t>
  </si>
  <si>
    <t>t=12/12</t>
  </si>
  <si>
    <t>t=18/12</t>
  </si>
  <si>
    <t>r_e or Div</t>
  </si>
  <si>
    <t>r_d or r</t>
  </si>
  <si>
    <t>call option tree</t>
  </si>
  <si>
    <t>(Alpha,Delta)</t>
  </si>
  <si>
    <t>stands for the american call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</si>
</sst>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ج.م.‏&quot;\ * #,##0.00_-;_-&quot;ج.م.‏&quot;\ * #,##0.00\-;_-&quot;ج.م.‏&quot;\ * &quot;-&quot;??_-;_-@_-"/>
    <numFmt numFmtId="165" formatCode="0.0000"/>
    <numFmt numFmtId="169" formatCode="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65" fontId="3" fillId="0" borderId="0" xfId="0" applyNumberFormat="1" applyFont="1" applyAlignment="1">
      <alignment horizontal="center" vertical="center"/>
    </xf>
    <xf numFmtId="0" fontId="3" fillId="0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5" borderId="0" xfId="0" applyFill="1"/>
    <xf numFmtId="0" fontId="3" fillId="5" borderId="0" xfId="0" applyFont="1" applyFill="1" applyBorder="1" applyAlignment="1">
      <alignment vertical="center"/>
    </xf>
    <xf numFmtId="2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9" fontId="0" fillId="6" borderId="0" xfId="0" applyNumberFormat="1" applyFill="1" applyAlignment="1">
      <alignment horizontal="center" vertical="center"/>
    </xf>
    <xf numFmtId="169" fontId="0" fillId="9" borderId="0" xfId="0" applyNumberFormat="1" applyFill="1" applyAlignment="1">
      <alignment horizontal="center" vertical="center"/>
    </xf>
    <xf numFmtId="169" fontId="0" fillId="7" borderId="0" xfId="0" applyNumberFormat="1" applyFill="1" applyAlignment="1">
      <alignment horizontal="center" vertical="center"/>
    </xf>
    <xf numFmtId="165" fontId="0" fillId="12" borderId="0" xfId="0" applyNumberFormat="1" applyFill="1" applyAlignment="1">
      <alignment horizontal="center" vertical="center"/>
    </xf>
    <xf numFmtId="164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165" fontId="5" fillId="8" borderId="0" xfId="0" applyNumberFormat="1" applyFont="1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9" fontId="0" fillId="14" borderId="0" xfId="0" applyNumberFormat="1" applyFill="1" applyAlignment="1">
      <alignment horizontal="center" vertical="center"/>
    </xf>
    <xf numFmtId="169" fontId="0" fillId="11" borderId="0" xfId="0" applyNumberFormat="1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6" borderId="0" xfId="0" applyNumberFormat="1" applyFill="1" applyAlignment="1">
      <alignment horizontal="center" vertical="center"/>
    </xf>
    <xf numFmtId="165" fontId="0" fillId="13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0" fillId="12" borderId="0" xfId="0" applyNumberFormat="1" applyFill="1"/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683400</xdr:colOff>
      <xdr:row>24</xdr:row>
      <xdr:rowOff>269100</xdr:rowOff>
    </xdr:from>
    <xdr:to>
      <xdr:col>7</xdr:col>
      <xdr:colOff>683760</xdr:colOff>
      <xdr:row>24</xdr:row>
      <xdr:rowOff>269460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5737253" y="465060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725373" y="463872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470735</xdr:colOff>
      <xdr:row>64</xdr:row>
      <xdr:rowOff>78427</xdr:rowOff>
    </xdr:from>
    <xdr:to>
      <xdr:col>1</xdr:col>
      <xdr:colOff>471095</xdr:colOff>
      <xdr:row>64</xdr:row>
      <xdr:rowOff>78787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/>
            <xdr14:cNvContentPartPr/>
          </xdr14:nvContentPartPr>
          <xdr14:nvPr macro=""/>
          <xdr14:xfrm>
            <a:off x="1456853" y="12091133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44973" y="12079253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7-03-12T07:22:17.02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EADE1F7D-0FBE-4607-874A-98FE570E81CA}" emma:medium="tactile" emma:mode="ink">
          <msink:context xmlns:msink="http://schemas.microsoft.com/ink/2010/main" type="writingRegion" rotatedBoundingBox="15936,12918 15951,12918 15951,12933 15936,12933"/>
        </emma:interpretation>
      </emma:emma>
    </inkml:annotationXML>
    <inkml:traceGroup>
      <inkml:annotationXML>
        <emma:emma xmlns:emma="http://www.w3.org/2003/04/emma" version="1.0">
          <emma:interpretation id="{CCDD513A-C524-43C5-8A22-523306FB8FC7}" emma:medium="tactile" emma:mode="ink">
            <msink:context xmlns:msink="http://schemas.microsoft.com/ink/2010/main" type="paragraph" rotatedBoundingBox="15936,12918 15951,12918 15951,12933 15936,1293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D740B6D-5BA4-4CA8-B53F-9C1ED5683789}" emma:medium="tactile" emma:mode="ink">
              <msink:context xmlns:msink="http://schemas.microsoft.com/ink/2010/main" type="line" rotatedBoundingBox="15936,12918 15951,12918 15951,12933 15936,12933"/>
            </emma:interpretation>
          </emma:emma>
        </inkml:annotationXML>
        <inkml:traceGroup>
          <inkml:annotationXML>
            <emma:emma xmlns:emma="http://www.w3.org/2003/04/emma" version="1.0">
              <emma:interpretation id="{CDAE94BA-AF01-4DC3-A73A-97419E25098E}" emma:medium="tactile" emma:mode="ink">
                <msink:context xmlns:msink="http://schemas.microsoft.com/ink/2010/main" type="inkWord" rotatedBoundingBox="15936,12918 15951,12918 15951,12933 15936,12933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7-03-12T07:26:58.65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DD3743DE-3DF9-4529-9113-5D4A0FC755ED}" emma:medium="tactile" emma:mode="ink">
          <msink:context xmlns:msink="http://schemas.microsoft.com/ink/2010/main" type="writingRegion" rotatedBoundingBox="4046,33586 4061,33586 4061,33601 4046,33601"/>
        </emma:interpretation>
      </emma:emma>
    </inkml:annotationXML>
    <inkml:traceGroup>
      <inkml:annotationXML>
        <emma:emma xmlns:emma="http://www.w3.org/2003/04/emma" version="1.0">
          <emma:interpretation id="{925D16CB-B7DC-4FF9-BA81-70C5F757582D}" emma:medium="tactile" emma:mode="ink">
            <msink:context xmlns:msink="http://schemas.microsoft.com/ink/2010/main" type="paragraph" rotatedBoundingBox="4046,33586 4061,33586 4061,33601 4046,3360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82DB344-41E9-4BCA-8509-B142CE7F27F0}" emma:medium="tactile" emma:mode="ink">
              <msink:context xmlns:msink="http://schemas.microsoft.com/ink/2010/main" type="line" rotatedBoundingBox="4046,33586 4061,33586 4061,33601 4046,33601"/>
            </emma:interpretation>
          </emma:emma>
        </inkml:annotationXML>
        <inkml:traceGroup>
          <inkml:annotationXML>
            <emma:emma xmlns:emma="http://www.w3.org/2003/04/emma" version="1.0">
              <emma:interpretation id="{784D4C82-D583-4B91-85B7-D2007A11A2CF}" emma:medium="tactile" emma:mode="ink">
                <msink:context xmlns:msink="http://schemas.microsoft.com/ink/2010/main" type="inkWord" rotatedBoundingBox="4046,33586 4061,33586 4061,33601 4046,3360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9" zoomScale="110" zoomScaleNormal="110" workbookViewId="0">
      <selection activeCell="A22" sqref="A22:F25"/>
    </sheetView>
  </sheetViews>
  <sheetFormatPr defaultColWidth="9.140625" defaultRowHeight="15" x14ac:dyDescent="0.25"/>
  <cols>
    <col min="1" max="1" width="19.7109375" customWidth="1"/>
    <col min="2" max="2" width="11.7109375" customWidth="1"/>
    <col min="3" max="3" width="8.28515625" bestFit="1" customWidth="1"/>
    <col min="4" max="4" width="8" customWidth="1"/>
    <col min="5" max="5" width="12.5703125" customWidth="1"/>
    <col min="6" max="6" width="18.42578125" customWidth="1"/>
    <col min="7" max="7" width="5.7109375" bestFit="1" customWidth="1"/>
    <col min="8" max="8" width="10.7109375" customWidth="1"/>
    <col min="9" max="9" width="8" customWidth="1"/>
    <col min="10" max="10" width="11.28515625" customWidth="1"/>
  </cols>
  <sheetData>
    <row r="1" spans="1:10" ht="28.5" customHeight="1" x14ac:dyDescent="0.3">
      <c r="A1" s="4"/>
      <c r="B1" s="4"/>
      <c r="C1" s="75" t="s">
        <v>11</v>
      </c>
      <c r="D1" s="75"/>
      <c r="E1" s="75"/>
      <c r="F1" s="75"/>
      <c r="G1" s="75"/>
      <c r="H1" s="75"/>
      <c r="I1" s="4"/>
      <c r="J1" s="4"/>
    </row>
    <row r="2" spans="1:10" ht="24" customHeight="1" x14ac:dyDescent="0.25">
      <c r="A2" s="5" t="s">
        <v>0</v>
      </c>
      <c r="B2" s="6"/>
      <c r="C2" s="7" t="s">
        <v>8</v>
      </c>
      <c r="D2" s="7" t="s">
        <v>9</v>
      </c>
      <c r="E2" s="8"/>
      <c r="F2" s="8"/>
      <c r="G2" s="8" t="s">
        <v>6</v>
      </c>
      <c r="H2" s="9" t="s">
        <v>7</v>
      </c>
      <c r="I2" s="77" t="s">
        <v>5</v>
      </c>
      <c r="J2" s="78"/>
    </row>
    <row r="3" spans="1:10" ht="24" customHeight="1" x14ac:dyDescent="0.25">
      <c r="A3" s="10" t="s">
        <v>1</v>
      </c>
      <c r="B3" s="16">
        <v>10</v>
      </c>
      <c r="C3" s="29">
        <v>1.5</v>
      </c>
      <c r="D3" s="29">
        <f>1/C3</f>
        <v>0.66666666666666663</v>
      </c>
      <c r="E3" s="11"/>
      <c r="F3" s="11"/>
      <c r="G3" s="11"/>
      <c r="H3" s="11">
        <f>$B$4*EXP(-$B$6*$B$8)*NORMSDIST(-F3)-$B$3*EXP(-$B$7*$B$8)*NORMSDIST(-E3)</f>
        <v>0.82267320129104871</v>
      </c>
      <c r="I3" s="79">
        <f>G3-H3+$B$4*EXP(-$B$6*$B$8)-$B$3*EXP(-$B$8*$B$7)</f>
        <v>0.82267320129104959</v>
      </c>
      <c r="J3" s="80"/>
    </row>
    <row r="4" spans="1:10" ht="24" customHeight="1" x14ac:dyDescent="0.25">
      <c r="A4" s="10" t="s">
        <v>2</v>
      </c>
      <c r="B4" s="16">
        <v>12</v>
      </c>
      <c r="C4" s="29" t="s">
        <v>16</v>
      </c>
      <c r="D4" s="29" t="s">
        <v>17</v>
      </c>
      <c r="E4" s="11"/>
      <c r="F4" s="11"/>
      <c r="G4" s="11"/>
      <c r="H4" s="11"/>
      <c r="I4" s="14"/>
      <c r="J4" s="14"/>
    </row>
    <row r="5" spans="1:10" ht="24" customHeight="1" x14ac:dyDescent="0.25">
      <c r="A5" s="10" t="s">
        <v>3</v>
      </c>
      <c r="B5" s="16">
        <v>0</v>
      </c>
      <c r="C5" s="29">
        <f>EXP((B6-B7)*B9)</f>
        <v>1.0100501670841679</v>
      </c>
      <c r="D5" s="29">
        <f>(C5-D3)/(C3-D3)</f>
        <v>0.41206020050100156</v>
      </c>
      <c r="E5" s="11"/>
      <c r="F5" s="11"/>
      <c r="G5" s="11"/>
      <c r="H5" s="11"/>
      <c r="I5" s="14"/>
      <c r="J5" s="14"/>
    </row>
    <row r="6" spans="1:10" ht="24" customHeight="1" x14ac:dyDescent="0.25">
      <c r="A6" s="10" t="s">
        <v>10</v>
      </c>
      <c r="B6" s="16">
        <v>0.01</v>
      </c>
      <c r="C6" s="16"/>
      <c r="D6" s="16"/>
      <c r="E6" s="11"/>
      <c r="F6" s="11"/>
      <c r="G6" s="11"/>
      <c r="H6" s="11"/>
      <c r="I6" s="14"/>
      <c r="J6" s="14"/>
    </row>
    <row r="7" spans="1:10" ht="24" customHeight="1" x14ac:dyDescent="0.25">
      <c r="A7" s="10" t="s">
        <v>13</v>
      </c>
      <c r="B7" s="16">
        <v>0</v>
      </c>
      <c r="C7" s="16"/>
      <c r="D7" s="17"/>
      <c r="E7" s="18"/>
      <c r="F7" s="18"/>
      <c r="G7" s="18"/>
      <c r="H7" s="18"/>
      <c r="I7" s="14"/>
      <c r="J7" s="14"/>
    </row>
    <row r="8" spans="1:10" ht="24" customHeight="1" x14ac:dyDescent="0.25">
      <c r="A8" s="10" t="s">
        <v>4</v>
      </c>
      <c r="B8" s="16">
        <v>3</v>
      </c>
      <c r="C8" s="16"/>
      <c r="D8" s="17"/>
      <c r="E8" s="14"/>
      <c r="F8" s="14"/>
      <c r="G8" s="14"/>
      <c r="H8" s="14"/>
      <c r="I8" s="14"/>
      <c r="J8" s="14"/>
    </row>
    <row r="9" spans="1:10" ht="24" customHeight="1" x14ac:dyDescent="0.25">
      <c r="A9" s="10" t="s">
        <v>12</v>
      </c>
      <c r="B9" s="16">
        <v>1</v>
      </c>
      <c r="C9" s="6"/>
      <c r="D9" s="14"/>
      <c r="E9" s="14"/>
      <c r="F9" s="81" t="s">
        <v>22</v>
      </c>
      <c r="G9" s="81"/>
      <c r="H9" s="81"/>
      <c r="I9" s="81"/>
      <c r="J9" s="81"/>
    </row>
    <row r="10" spans="1:10" ht="28.5" customHeight="1" x14ac:dyDescent="0.25">
      <c r="A10" s="76"/>
      <c r="B10" s="76"/>
      <c r="C10" s="76"/>
      <c r="D10" s="76"/>
      <c r="E10" s="14"/>
      <c r="F10" s="31"/>
      <c r="G10" s="28" t="s">
        <v>24</v>
      </c>
      <c r="H10" s="28" t="s">
        <v>25</v>
      </c>
      <c r="I10" s="28" t="s">
        <v>26</v>
      </c>
      <c r="J10" s="28" t="s">
        <v>23</v>
      </c>
    </row>
    <row r="11" spans="1:10" ht="28.5" customHeight="1" x14ac:dyDescent="0.25">
      <c r="A11" s="28"/>
      <c r="B11" s="28"/>
      <c r="C11" s="28"/>
      <c r="D11" s="28"/>
      <c r="E11" s="14"/>
      <c r="F11" s="31"/>
      <c r="G11" s="28"/>
      <c r="H11" s="28"/>
      <c r="I11" s="74" t="s">
        <v>33</v>
      </c>
      <c r="J11" s="74"/>
    </row>
    <row r="12" spans="1:10" ht="28.5" customHeight="1" x14ac:dyDescent="0.3">
      <c r="A12" s="30"/>
      <c r="B12" s="4"/>
      <c r="C12" s="4"/>
      <c r="D12" s="4"/>
      <c r="E12" s="29">
        <f>D13*$C$3</f>
        <v>33.75</v>
      </c>
      <c r="F12" s="21"/>
      <c r="G12" s="21"/>
      <c r="H12" s="74" t="s">
        <v>32</v>
      </c>
      <c r="I12" s="74"/>
      <c r="J12" s="30">
        <f>MAX($B$4-E12,0)</f>
        <v>0</v>
      </c>
    </row>
    <row r="13" spans="1:10" ht="28.5" customHeight="1" x14ac:dyDescent="0.3">
      <c r="A13" s="4"/>
      <c r="B13" s="14"/>
      <c r="C13" s="14"/>
      <c r="D13" s="29">
        <f>C14*$C$3</f>
        <v>22.5</v>
      </c>
      <c r="E13" s="23"/>
      <c r="F13" s="21"/>
      <c r="G13" s="74" t="s">
        <v>29</v>
      </c>
      <c r="H13" s="74"/>
      <c r="I13" s="30">
        <f>($D$5*J12+(1-$D$5)*J14)*EXP(-$B$6*$B$9)</f>
        <v>0</v>
      </c>
      <c r="J13" s="21"/>
    </row>
    <row r="14" spans="1:10" ht="28.5" customHeight="1" x14ac:dyDescent="0.3">
      <c r="A14" s="24"/>
      <c r="B14" s="14"/>
      <c r="C14" s="29">
        <f>B15*$C$3</f>
        <v>15</v>
      </c>
      <c r="D14" s="23"/>
      <c r="E14" s="29">
        <f>D15*$C$3</f>
        <v>15</v>
      </c>
      <c r="F14" s="21"/>
      <c r="G14" s="21"/>
      <c r="H14" s="30">
        <f>($D$5*I13+(1-$D$5)*I15)*EXP(-$B$6*$B$9)</f>
        <v>1.8070849051599007</v>
      </c>
      <c r="I14" s="22"/>
      <c r="J14" s="30">
        <f>MAX($B$4-E14,0)</f>
        <v>0</v>
      </c>
    </row>
    <row r="15" spans="1:10" ht="28.5" customHeight="1" x14ac:dyDescent="0.25">
      <c r="A15" s="25" t="s">
        <v>28</v>
      </c>
      <c r="B15" s="29">
        <f>B3</f>
        <v>10</v>
      </c>
      <c r="C15" s="23"/>
      <c r="D15" s="29">
        <f>C16*$C$3</f>
        <v>10</v>
      </c>
      <c r="E15" s="23"/>
      <c r="F15" s="30" t="s">
        <v>27</v>
      </c>
      <c r="G15" s="30">
        <f>($D$5*H14+(1-$D$5)*H16)*EXP(-$B$6*$B$9)</f>
        <v>3.9940173562012351</v>
      </c>
      <c r="H15" s="21"/>
      <c r="I15" s="30">
        <f>($D$5*J14+(1-$D$5)*J16)*EXP(-$B$6*$B$9)</f>
        <v>3.1044784039920144</v>
      </c>
      <c r="J15" s="21"/>
    </row>
    <row r="16" spans="1:10" ht="28.5" customHeight="1" x14ac:dyDescent="0.3">
      <c r="A16" s="4"/>
      <c r="B16" s="14"/>
      <c r="C16" s="29">
        <f>B15*$D$3</f>
        <v>6.6666666666666661</v>
      </c>
      <c r="D16" s="23"/>
      <c r="E16" s="29">
        <f>D17*$C$3</f>
        <v>6.6666666666666661</v>
      </c>
      <c r="F16" s="21"/>
      <c r="G16" s="21"/>
      <c r="H16" s="30">
        <f>($D$5*I15+(1-$D$5)*I17)*EXP(-$B$6*$B$9)</f>
        <v>5.5950118233681607</v>
      </c>
      <c r="I16" s="22"/>
      <c r="J16" s="30">
        <f>MAX($B$4-E16,0)</f>
        <v>5.3333333333333339</v>
      </c>
    </row>
    <row r="17" spans="1:11" ht="28.5" customHeight="1" x14ac:dyDescent="0.3">
      <c r="A17" s="4"/>
      <c r="B17" s="14"/>
      <c r="C17" s="14"/>
      <c r="D17" s="29">
        <f>C16*$D$3</f>
        <v>4.4444444444444438</v>
      </c>
      <c r="E17" s="14"/>
      <c r="F17" s="21"/>
      <c r="G17" s="21"/>
      <c r="H17" s="21"/>
      <c r="I17" s="30">
        <f>($D$5*J16+(1-$D$5)*J18)*EXP(-$B$6*$B$9)</f>
        <v>7.4361535605455735</v>
      </c>
      <c r="J17" s="21"/>
    </row>
    <row r="18" spans="1:11" ht="28.5" customHeight="1" x14ac:dyDescent="0.3">
      <c r="A18" s="4"/>
      <c r="B18" s="14"/>
      <c r="C18" s="14"/>
      <c r="D18" s="18"/>
      <c r="E18" s="29">
        <f>D17*$D$3</f>
        <v>2.9629629629629624</v>
      </c>
      <c r="F18" s="21"/>
      <c r="G18" s="21"/>
      <c r="H18" s="21"/>
      <c r="I18" s="22"/>
      <c r="J18" s="30">
        <f>MAX($B$4-E18,0)</f>
        <v>9.0370370370370381</v>
      </c>
    </row>
    <row r="19" spans="1:11" ht="14.25" customHeight="1" x14ac:dyDescent="0.3">
      <c r="A19" s="4"/>
      <c r="B19" s="14"/>
      <c r="C19" s="14"/>
      <c r="D19" s="4"/>
      <c r="E19" s="4"/>
      <c r="F19" s="4"/>
      <c r="G19" s="4"/>
      <c r="H19" s="4"/>
      <c r="I19" s="4"/>
      <c r="J19" s="4"/>
      <c r="K19" s="2"/>
    </row>
    <row r="20" spans="1:11" ht="15.75" customHeight="1" x14ac:dyDescent="0.3">
      <c r="A20" s="4"/>
      <c r="B20" s="14"/>
      <c r="C20" s="14"/>
      <c r="D20" s="4"/>
      <c r="E20" s="4"/>
      <c r="F20" s="4"/>
      <c r="G20" s="4"/>
      <c r="H20" s="4"/>
      <c r="I20" s="4"/>
      <c r="J20" s="4"/>
      <c r="K20" s="2"/>
    </row>
    <row r="21" spans="1:11" ht="31.5" customHeight="1" x14ac:dyDescent="0.3">
      <c r="E21" s="3"/>
      <c r="F21" s="2"/>
      <c r="G21" s="2"/>
      <c r="H21" s="2"/>
    </row>
    <row r="22" spans="1:11" ht="31.5" customHeight="1" x14ac:dyDescent="0.3">
      <c r="A22" s="21" t="s">
        <v>30</v>
      </c>
      <c r="B22" s="17">
        <f>(H14-H16)/(C14-C16)</f>
        <v>-0.45455123018499122</v>
      </c>
      <c r="C22" s="1" t="s">
        <v>31</v>
      </c>
      <c r="D22" s="1">
        <f>G15-B22*B15</f>
        <v>8.5395296580511477</v>
      </c>
      <c r="E22" s="3"/>
      <c r="F22" s="2"/>
      <c r="G22" s="2"/>
      <c r="H22" s="2"/>
    </row>
    <row r="23" spans="1:11" ht="17.25" x14ac:dyDescent="0.25">
      <c r="A23" s="32"/>
      <c r="B23" s="33" t="s">
        <v>35</v>
      </c>
      <c r="C23" s="34">
        <f>(I13-I15)/(D13-D15)</f>
        <v>-0.24835827231936114</v>
      </c>
      <c r="D23" s="32"/>
      <c r="E23" s="33" t="s">
        <v>38</v>
      </c>
      <c r="F23" s="34">
        <f>H14-C23*C14</f>
        <v>5.5324589899503174</v>
      </c>
    </row>
    <row r="24" spans="1:11" ht="17.25" x14ac:dyDescent="0.25">
      <c r="A24" s="35" t="s">
        <v>34</v>
      </c>
      <c r="B24" s="33"/>
      <c r="C24" s="32"/>
      <c r="D24" s="35" t="s">
        <v>37</v>
      </c>
      <c r="E24" s="33"/>
      <c r="F24" s="32"/>
    </row>
    <row r="25" spans="1:11" ht="17.25" x14ac:dyDescent="0.25">
      <c r="A25" s="35"/>
      <c r="B25" s="33" t="s">
        <v>36</v>
      </c>
      <c r="C25" s="34">
        <f>(I15-I17)/(D15-D17)</f>
        <v>-0.77970152817964056</v>
      </c>
      <c r="D25" s="35"/>
      <c r="E25" s="33" t="s">
        <v>39</v>
      </c>
      <c r="F25" s="34">
        <f>H16-C25*C16</f>
        <v>10.793022011232431</v>
      </c>
    </row>
    <row r="26" spans="1:11" ht="31.5" customHeight="1" x14ac:dyDescent="0.25">
      <c r="A26" s="74"/>
      <c r="B26" s="74"/>
    </row>
    <row r="27" spans="1:11" ht="31.5" customHeight="1" x14ac:dyDescent="0.25"/>
    <row r="28" spans="1:11" ht="31.5" customHeight="1" x14ac:dyDescent="0.25"/>
    <row r="29" spans="1:11" ht="31.5" customHeight="1" x14ac:dyDescent="0.25"/>
    <row r="30" spans="1:11" ht="31.5" customHeight="1" x14ac:dyDescent="0.25"/>
    <row r="31" spans="1:11" ht="31.5" customHeight="1" x14ac:dyDescent="0.25"/>
    <row r="32" spans="1:11" ht="31.5" customHeight="1" x14ac:dyDescent="0.25"/>
  </sheetData>
  <mergeCells count="9">
    <mergeCell ref="H12:I12"/>
    <mergeCell ref="I11:J11"/>
    <mergeCell ref="A26:B26"/>
    <mergeCell ref="C1:H1"/>
    <mergeCell ref="A10:D10"/>
    <mergeCell ref="I2:J2"/>
    <mergeCell ref="I3:J3"/>
    <mergeCell ref="F9:J9"/>
    <mergeCell ref="G13:H13"/>
  </mergeCells>
  <pageMargins left="0.15748031496062992" right="0.11811023622047245" top="0.74803149606299213" bottom="1.0236220472440944" header="0.31496062992125984" footer="0.39370078740157483"/>
  <pageSetup paperSize="9"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4" zoomScale="80" zoomScaleNormal="80" workbookViewId="0">
      <selection activeCell="F29" sqref="F29"/>
    </sheetView>
  </sheetViews>
  <sheetFormatPr defaultColWidth="9.140625" defaultRowHeight="15" x14ac:dyDescent="0.25"/>
  <cols>
    <col min="1" max="1" width="26" customWidth="1"/>
    <col min="2" max="2" width="11.5703125" customWidth="1"/>
    <col min="3" max="3" width="12" customWidth="1"/>
    <col min="4" max="4" width="12.85546875" customWidth="1"/>
    <col min="5" max="5" width="12.28515625" customWidth="1"/>
    <col min="6" max="6" width="14.28515625" customWidth="1"/>
    <col min="7" max="7" width="11" customWidth="1"/>
    <col min="8" max="9" width="11.28515625" customWidth="1"/>
    <col min="10" max="10" width="9.28515625" bestFit="1" customWidth="1"/>
  </cols>
  <sheetData>
    <row r="1" spans="1:10" ht="28.5" customHeight="1" x14ac:dyDescent="0.3">
      <c r="A1" s="82" t="s">
        <v>21</v>
      </c>
      <c r="B1" s="83"/>
      <c r="C1" s="91" t="s">
        <v>11</v>
      </c>
      <c r="D1" s="91"/>
      <c r="E1" s="91"/>
      <c r="F1" s="91"/>
      <c r="G1" s="91"/>
      <c r="H1" s="91"/>
      <c r="I1" s="4"/>
      <c r="J1" s="4"/>
    </row>
    <row r="2" spans="1:10" ht="28.5" customHeight="1" x14ac:dyDescent="0.25">
      <c r="A2" s="5" t="s">
        <v>0</v>
      </c>
      <c r="B2" s="6"/>
      <c r="C2" s="7" t="s">
        <v>8</v>
      </c>
      <c r="D2" s="7" t="s">
        <v>9</v>
      </c>
    </row>
    <row r="3" spans="1:10" ht="28.5" customHeight="1" x14ac:dyDescent="0.25">
      <c r="A3" s="10" t="s">
        <v>1</v>
      </c>
      <c r="B3" s="11">
        <v>930</v>
      </c>
      <c r="C3" s="12">
        <v>1.5</v>
      </c>
      <c r="D3" s="12">
        <f>1/C3</f>
        <v>0.66666666666666663</v>
      </c>
    </row>
    <row r="4" spans="1:10" ht="28.5" customHeight="1" x14ac:dyDescent="0.25">
      <c r="A4" s="10" t="s">
        <v>2</v>
      </c>
      <c r="B4" s="11">
        <v>900</v>
      </c>
      <c r="C4" s="13" t="s">
        <v>16</v>
      </c>
      <c r="D4" s="13" t="s">
        <v>17</v>
      </c>
    </row>
    <row r="5" spans="1:10" ht="28.5" customHeight="1" x14ac:dyDescent="0.25">
      <c r="A5" s="10" t="s">
        <v>3</v>
      </c>
      <c r="B5" s="11"/>
      <c r="C5" s="15">
        <f>EXP((B6-B7)*B9)</f>
        <v>1.0033388950668758</v>
      </c>
      <c r="D5" s="15">
        <f>(C5-D3)/(C3-D3)</f>
        <v>0.40400667408025098</v>
      </c>
    </row>
    <row r="6" spans="1:10" ht="28.5" customHeight="1" x14ac:dyDescent="0.25">
      <c r="A6" s="10" t="s">
        <v>10</v>
      </c>
      <c r="B6" s="11">
        <v>0.05</v>
      </c>
      <c r="C6" s="16"/>
      <c r="D6" s="16"/>
    </row>
    <row r="7" spans="1:10" ht="43.5" customHeight="1" x14ac:dyDescent="0.25">
      <c r="A7" s="27" t="s">
        <v>20</v>
      </c>
      <c r="B7" s="11">
        <v>0.03</v>
      </c>
      <c r="C7" s="16"/>
      <c r="D7" s="17"/>
      <c r="E7" s="14"/>
    </row>
    <row r="8" spans="1:10" ht="28.5" customHeight="1" x14ac:dyDescent="0.25">
      <c r="A8" s="10" t="s">
        <v>4</v>
      </c>
      <c r="B8" s="11">
        <f>6/12</f>
        <v>0.5</v>
      </c>
      <c r="C8" s="16"/>
      <c r="D8" s="17"/>
      <c r="E8" s="14"/>
      <c r="F8" s="14"/>
      <c r="G8" s="14"/>
      <c r="H8" s="14"/>
      <c r="I8" s="14"/>
      <c r="J8" s="14"/>
    </row>
    <row r="9" spans="1:10" ht="28.5" customHeight="1" x14ac:dyDescent="0.3">
      <c r="A9" s="19" t="s">
        <v>12</v>
      </c>
      <c r="B9" s="20">
        <f>2/12</f>
        <v>0.16666666666666666</v>
      </c>
      <c r="C9" s="36"/>
      <c r="D9" s="31"/>
      <c r="E9" s="31"/>
      <c r="F9" s="31"/>
      <c r="G9" s="31"/>
      <c r="H9" s="31"/>
      <c r="I9" s="31"/>
      <c r="J9" s="4"/>
    </row>
    <row r="10" spans="1:10" ht="28.5" customHeight="1" x14ac:dyDescent="0.25">
      <c r="A10" s="76" t="s">
        <v>19</v>
      </c>
      <c r="B10" s="76"/>
      <c r="C10" s="76"/>
      <c r="D10" s="76"/>
      <c r="E10" s="14"/>
      <c r="F10" s="76" t="s">
        <v>18</v>
      </c>
      <c r="G10" s="76"/>
      <c r="H10" s="76"/>
      <c r="I10" s="76"/>
      <c r="J10" s="76"/>
    </row>
    <row r="11" spans="1:10" ht="28.5" customHeight="1" x14ac:dyDescent="0.3">
      <c r="A11" s="4"/>
      <c r="B11" s="4"/>
      <c r="C11" s="4"/>
      <c r="D11" s="4"/>
      <c r="E11" s="29">
        <f>D12*$C$3</f>
        <v>3138.75</v>
      </c>
      <c r="F11" s="21"/>
      <c r="G11" s="21"/>
      <c r="H11" s="21"/>
      <c r="I11" s="22"/>
      <c r="J11" s="30">
        <f>MAX(E11-$B$4,0)</f>
        <v>2238.75</v>
      </c>
    </row>
    <row r="12" spans="1:10" ht="28.5" customHeight="1" x14ac:dyDescent="0.3">
      <c r="A12" s="4"/>
      <c r="B12" s="14"/>
      <c r="C12" s="14"/>
      <c r="D12" s="29">
        <f>C13*$C$3</f>
        <v>2092.5</v>
      </c>
      <c r="E12" s="23"/>
      <c r="F12" s="21"/>
      <c r="G12" s="21"/>
      <c r="H12" s="22"/>
      <c r="I12" s="30">
        <f>($D$5*J11+(1-$D$5)*J13)*EXP(-$B$6*$B$9)</f>
        <v>1189.5324493356993</v>
      </c>
      <c r="J12" s="17"/>
    </row>
    <row r="13" spans="1:10" ht="28.5" customHeight="1" x14ac:dyDescent="0.3">
      <c r="A13" s="24"/>
      <c r="B13" s="14"/>
      <c r="C13" s="29">
        <f>B14*$C$3</f>
        <v>1395</v>
      </c>
      <c r="D13" s="23"/>
      <c r="E13" s="29">
        <f>D14*$C$3</f>
        <v>1395</v>
      </c>
      <c r="F13" s="21"/>
      <c r="G13" s="21"/>
      <c r="H13" s="30">
        <f>($D$5*I12+(1-$D$5)*I14)*EXP(-$B$6*$B$9)</f>
        <v>593.80956179328564</v>
      </c>
      <c r="I13" s="22"/>
      <c r="J13" s="30">
        <f t="shared" ref="J13:J17" si="0">MAX(E13-$B$4,0)</f>
        <v>495</v>
      </c>
    </row>
    <row r="14" spans="1:10" ht="28.5" customHeight="1" x14ac:dyDescent="0.25">
      <c r="A14" s="25" t="s">
        <v>14</v>
      </c>
      <c r="B14" s="29">
        <f>B3</f>
        <v>930</v>
      </c>
      <c r="C14" s="23"/>
      <c r="D14" s="29">
        <f>C15*$C$3</f>
        <v>930</v>
      </c>
      <c r="E14" s="23"/>
      <c r="F14" s="26" t="s">
        <v>15</v>
      </c>
      <c r="G14" s="30">
        <f>($D$5*H13+(1-$D$5)*H15)*EXP(-$B$6*$B$9)</f>
        <v>284.87627443765916</v>
      </c>
      <c r="H14" s="21"/>
      <c r="I14" s="30">
        <f>($D$5*J13+(1-$D$5)*J15)*EXP(-$B$6*$B$9)</f>
        <v>198.32370075545842</v>
      </c>
      <c r="J14" s="17"/>
    </row>
    <row r="15" spans="1:10" ht="28.5" customHeight="1" x14ac:dyDescent="0.3">
      <c r="A15" s="4"/>
      <c r="B15" s="14"/>
      <c r="C15" s="29">
        <f>B14*$D$3</f>
        <v>620</v>
      </c>
      <c r="D15" s="23"/>
      <c r="E15" s="29">
        <f>D16*$C$3</f>
        <v>620</v>
      </c>
      <c r="F15" s="21"/>
      <c r="G15" s="21"/>
      <c r="H15" s="30">
        <f>($D$5*I14+(1-$D$5)*I16)*EXP(-$B$6*$B$9)</f>
        <v>79.459172285536596</v>
      </c>
      <c r="I15" s="22"/>
      <c r="J15" s="30">
        <f t="shared" si="0"/>
        <v>0</v>
      </c>
    </row>
    <row r="16" spans="1:10" ht="28.5" customHeight="1" x14ac:dyDescent="0.3">
      <c r="A16" s="4"/>
      <c r="B16" s="14"/>
      <c r="C16" s="14"/>
      <c r="D16" s="29">
        <f>C15*$D$3</f>
        <v>413.33333333333331</v>
      </c>
      <c r="E16" s="14"/>
      <c r="F16" s="21"/>
      <c r="G16" s="21"/>
      <c r="H16" s="21"/>
      <c r="I16" s="30">
        <f>($D$5*J15+(1-$D$5)*J17)*EXP(-$B$6*$B$9)</f>
        <v>0</v>
      </c>
      <c r="J16" s="17"/>
    </row>
    <row r="17" spans="1:11" ht="28.5" customHeight="1" x14ac:dyDescent="0.3">
      <c r="A17" s="4"/>
      <c r="B17" s="14"/>
      <c r="C17" s="14"/>
      <c r="D17" s="18"/>
      <c r="E17" s="29">
        <f>D16*$D$3</f>
        <v>275.55555555555554</v>
      </c>
      <c r="F17" s="21"/>
      <c r="G17" s="21"/>
      <c r="H17" s="21"/>
      <c r="I17" s="22"/>
      <c r="J17" s="30">
        <f t="shared" si="0"/>
        <v>0</v>
      </c>
    </row>
    <row r="18" spans="1:11" ht="14.25" customHeight="1" x14ac:dyDescent="0.3">
      <c r="A18" s="4"/>
      <c r="B18" s="14"/>
      <c r="C18" s="14"/>
      <c r="D18" s="4"/>
      <c r="E18" s="4"/>
      <c r="F18" s="4"/>
      <c r="G18" s="4"/>
      <c r="H18" s="4"/>
      <c r="I18" s="4"/>
      <c r="J18" s="4"/>
      <c r="K18" s="2"/>
    </row>
    <row r="19" spans="1:11" ht="15.75" customHeight="1" x14ac:dyDescent="0.3">
      <c r="A19" s="37" t="s">
        <v>30</v>
      </c>
      <c r="B19" s="38">
        <f>(H13-H15)/(C13-C15)</f>
        <v>0.66367792194548259</v>
      </c>
      <c r="C19" s="39" t="s">
        <v>31</v>
      </c>
      <c r="D19" s="39">
        <f>G14-B19*B14</f>
        <v>-332.34419297163959</v>
      </c>
      <c r="E19" s="3"/>
      <c r="F19" s="2"/>
      <c r="G19" s="4"/>
      <c r="H19" s="4"/>
      <c r="I19" s="4"/>
      <c r="J19" s="4"/>
      <c r="K19" s="2"/>
    </row>
    <row r="20" spans="1:11" ht="31.5" customHeight="1" x14ac:dyDescent="0.3">
      <c r="A20" s="32"/>
      <c r="B20" s="33" t="s">
        <v>35</v>
      </c>
      <c r="C20" s="34">
        <f>(I12-I14)/(D12-D14)</f>
        <v>0.85265268695074492</v>
      </c>
      <c r="D20" s="32"/>
      <c r="E20" s="33" t="s">
        <v>38</v>
      </c>
      <c r="F20" s="34">
        <f>H13-C20*C13</f>
        <v>-595.64093650300356</v>
      </c>
      <c r="G20" s="2"/>
      <c r="H20" s="2"/>
    </row>
    <row r="21" spans="1:11" ht="31.5" customHeight="1" x14ac:dyDescent="0.3">
      <c r="A21" s="35" t="s">
        <v>34</v>
      </c>
      <c r="B21" s="33"/>
      <c r="C21" s="32"/>
      <c r="D21" s="35" t="s">
        <v>37</v>
      </c>
      <c r="E21" s="33"/>
      <c r="F21" s="32"/>
      <c r="G21" s="2"/>
      <c r="H21" s="2"/>
    </row>
    <row r="22" spans="1:11" ht="31.5" customHeight="1" x14ac:dyDescent="0.3">
      <c r="A22" s="35"/>
      <c r="B22" s="33" t="s">
        <v>36</v>
      </c>
      <c r="C22" s="34">
        <f>(I14-I16)/(D14-D16)</f>
        <v>0.38385232404282271</v>
      </c>
      <c r="D22" s="35"/>
      <c r="E22" s="33" t="s">
        <v>39</v>
      </c>
      <c r="F22" s="34">
        <f>H15-C22*C15</f>
        <v>-158.52926862101347</v>
      </c>
      <c r="G22" s="2"/>
      <c r="H22" s="2"/>
    </row>
    <row r="23" spans="1:11" ht="31.5" customHeight="1" x14ac:dyDescent="0.25"/>
    <row r="24" spans="1:11" ht="31.5" customHeight="1" x14ac:dyDescent="0.25">
      <c r="A24" s="32"/>
      <c r="B24" s="33" t="s">
        <v>41</v>
      </c>
      <c r="C24" s="34">
        <f>(J11-J13)/(E11-E13)</f>
        <v>1</v>
      </c>
      <c r="D24" s="32"/>
      <c r="E24" s="33" t="s">
        <v>43</v>
      </c>
      <c r="F24" s="34">
        <f>I12-C24*D12</f>
        <v>-902.96755066430069</v>
      </c>
    </row>
    <row r="25" spans="1:11" ht="31.5" customHeight="1" x14ac:dyDescent="0.25">
      <c r="A25" s="32"/>
      <c r="B25" s="33"/>
      <c r="C25" s="34"/>
      <c r="D25" s="32"/>
      <c r="E25" s="33"/>
      <c r="F25" s="34"/>
    </row>
    <row r="26" spans="1:11" ht="31.5" customHeight="1" x14ac:dyDescent="0.25">
      <c r="A26" s="35" t="s">
        <v>40</v>
      </c>
      <c r="B26" s="33" t="s">
        <v>41</v>
      </c>
      <c r="C26" s="34">
        <f>(J13-J15)/(E13-E15)</f>
        <v>0.6387096774193548</v>
      </c>
      <c r="D26" s="33" t="s">
        <v>44</v>
      </c>
      <c r="E26" s="33" t="s">
        <v>45</v>
      </c>
      <c r="F26" s="34">
        <f>I14-C26*D14</f>
        <v>-395.67629924454161</v>
      </c>
    </row>
    <row r="27" spans="1:11" ht="31.5" customHeight="1" x14ac:dyDescent="0.25">
      <c r="A27" s="35"/>
      <c r="B27" s="33"/>
      <c r="C27" s="34"/>
      <c r="D27" s="35"/>
      <c r="E27" s="33"/>
      <c r="F27" s="32"/>
    </row>
    <row r="28" spans="1:11" ht="17.25" x14ac:dyDescent="0.25">
      <c r="A28" s="35"/>
      <c r="B28" s="33" t="s">
        <v>42</v>
      </c>
      <c r="C28" s="34">
        <f>(J15-J17)/(E15-E17)</f>
        <v>0</v>
      </c>
      <c r="D28" s="35"/>
      <c r="E28" s="33" t="s">
        <v>46</v>
      </c>
      <c r="F28" s="34">
        <f>I16-C28*D16</f>
        <v>0</v>
      </c>
    </row>
  </sheetData>
  <mergeCells count="4">
    <mergeCell ref="A1:B1"/>
    <mergeCell ref="C1:H1"/>
    <mergeCell ref="A10:D10"/>
    <mergeCell ref="F10:J10"/>
  </mergeCells>
  <pageMargins left="0.15748031496062992" right="0.11811023622047245" top="0.74803149606299213" bottom="1.0236220472440944" header="0.31496062992125984" footer="0.39370078740157483"/>
  <pageSetup paperSize="9" scale="9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B1"/>
    </sheetView>
  </sheetViews>
  <sheetFormatPr defaultColWidth="9.140625" defaultRowHeight="15" x14ac:dyDescent="0.25"/>
  <sheetData>
    <row r="1" spans="1:13" x14ac:dyDescent="0.25">
      <c r="A1" s="71" t="s">
        <v>50</v>
      </c>
      <c r="B1" s="71"/>
      <c r="D1" t="s">
        <v>51</v>
      </c>
      <c r="L1" s="72" t="s">
        <v>53</v>
      </c>
      <c r="M1" s="72"/>
    </row>
    <row r="2" spans="1:13" x14ac:dyDescent="0.25">
      <c r="A2" t="s">
        <v>47</v>
      </c>
      <c r="B2">
        <v>100</v>
      </c>
      <c r="C2" t="s">
        <v>17</v>
      </c>
      <c r="D2" s="1">
        <f>(EXP(B7)-B6)/(B4-B6)</f>
        <v>0.54550417985232336</v>
      </c>
      <c r="G2" s="42"/>
      <c r="H2" s="43">
        <f>G3*$B$4</f>
        <v>123</v>
      </c>
      <c r="L2" s="41"/>
      <c r="M2" s="45">
        <f>MAX($B$3-C9,0)</f>
        <v>0</v>
      </c>
    </row>
    <row r="3" spans="1:13" x14ac:dyDescent="0.25">
      <c r="A3" t="s">
        <v>48</v>
      </c>
      <c r="B3">
        <v>110</v>
      </c>
      <c r="G3" s="43">
        <f>B2</f>
        <v>100</v>
      </c>
      <c r="H3" s="43"/>
      <c r="L3" s="45">
        <f>($D$2*M6+(1-$D$2)*M4)*EXP(-$B$7*$B$5)</f>
        <v>10.272673057856816</v>
      </c>
      <c r="M3" s="41"/>
    </row>
    <row r="4" spans="1:13" x14ac:dyDescent="0.25">
      <c r="A4" t="s">
        <v>8</v>
      </c>
      <c r="B4">
        <v>1.23</v>
      </c>
      <c r="D4" s="1" t="s">
        <v>55</v>
      </c>
      <c r="E4" s="1"/>
      <c r="G4" s="42"/>
      <c r="H4" s="43">
        <f>G3*$B$6</f>
        <v>86</v>
      </c>
      <c r="L4" s="41"/>
      <c r="M4" s="45">
        <f>MAX($B$3-C11,0)</f>
        <v>24</v>
      </c>
    </row>
    <row r="5" spans="1:13" x14ac:dyDescent="0.25">
      <c r="A5" t="s">
        <v>54</v>
      </c>
      <c r="B5">
        <v>1</v>
      </c>
      <c r="D5" s="1">
        <f>B4-EXP(B7)</f>
        <v>0.16816345345464034</v>
      </c>
      <c r="E5" s="1">
        <f>EXP(B7)-B6</f>
        <v>0.20183654654535965</v>
      </c>
      <c r="G5" s="42"/>
      <c r="H5" s="43"/>
      <c r="L5" s="41"/>
      <c r="M5" s="45"/>
    </row>
    <row r="6" spans="1:13" x14ac:dyDescent="0.25">
      <c r="A6" t="s">
        <v>9</v>
      </c>
      <c r="B6">
        <v>0.86</v>
      </c>
      <c r="F6" s="43">
        <f>E7*$B$4</f>
        <v>228.88664099999997</v>
      </c>
      <c r="M6" s="46">
        <f>MAX($B$3-F6,0)</f>
        <v>0</v>
      </c>
    </row>
    <row r="7" spans="1:13" x14ac:dyDescent="0.25">
      <c r="A7" t="s">
        <v>49</v>
      </c>
      <c r="B7">
        <v>0.06</v>
      </c>
      <c r="E7" s="43">
        <f>D8*$B$4</f>
        <v>186.08669999999998</v>
      </c>
      <c r="L7" s="46">
        <f>($D$2*M6+(1-$D$2)*M8)*EXP(-$B$7*$B$5)</f>
        <v>0</v>
      </c>
      <c r="M7" s="1"/>
    </row>
    <row r="8" spans="1:13" x14ac:dyDescent="0.25">
      <c r="B8" s="71" t="s">
        <v>52</v>
      </c>
      <c r="C8" s="71"/>
      <c r="D8" s="43">
        <f>C9*$B$4</f>
        <v>151.29</v>
      </c>
      <c r="F8" s="43">
        <f t="shared" ref="F8:F12" si="0">E9*$B$4</f>
        <v>160.03456199999999</v>
      </c>
      <c r="K8" s="46">
        <f>($D$2*L7+(1-$D$2)*L9)*EXP(-$B$7*$B$5)</f>
        <v>0</v>
      </c>
      <c r="M8" s="46">
        <f>MAX($B$3-F8,0)</f>
        <v>0</v>
      </c>
    </row>
    <row r="9" spans="1:13" x14ac:dyDescent="0.25">
      <c r="C9" s="43">
        <f>B10*$B$4</f>
        <v>123</v>
      </c>
      <c r="D9" s="43"/>
      <c r="E9" s="43">
        <f>D10*$B$4</f>
        <v>130.10939999999999</v>
      </c>
      <c r="J9" s="46">
        <f>($D$2*K8+(1-$D$2)*K10)*EXP(-$B$7*$B$5)</f>
        <v>2.4909617841695786</v>
      </c>
      <c r="L9" s="46">
        <f>($D$2*M8+(1-$D$2)*M10)*EXP(-$B$7*$B$5)</f>
        <v>0</v>
      </c>
      <c r="M9" s="1"/>
    </row>
    <row r="10" spans="1:13" x14ac:dyDescent="0.25">
      <c r="B10" s="43">
        <f>B2</f>
        <v>100</v>
      </c>
      <c r="C10" s="43"/>
      <c r="D10" s="43">
        <f>C11*$B$4</f>
        <v>105.78</v>
      </c>
      <c r="F10" s="43">
        <f t="shared" si="0"/>
        <v>111.89408399999999</v>
      </c>
      <c r="I10" s="46">
        <f>($D$2*J9+(1-$D$2)*J11)*EXP(-$B$7*$B$5)</f>
        <v>6.9749185637443647</v>
      </c>
      <c r="K10" s="46">
        <f>($D$2*L9+(1-$D$2)*L11)*EXP(-$B$7*$B$5)</f>
        <v>5.8196228462996</v>
      </c>
      <c r="M10" s="46">
        <f>MAX($B$3-F10,0)</f>
        <v>0</v>
      </c>
    </row>
    <row r="11" spans="1:13" x14ac:dyDescent="0.25">
      <c r="C11" s="43">
        <f>B10*$B$6</f>
        <v>86</v>
      </c>
      <c r="D11" s="43"/>
      <c r="E11" s="43">
        <f>D12*$B$4</f>
        <v>90.970799999999997</v>
      </c>
      <c r="J11" s="46">
        <f>($D$2*K10+(1-$D$2)*K12)*EXP(-$B$7*$B$5)</f>
        <v>13.305718351996255</v>
      </c>
      <c r="L11" s="46">
        <f>($D$2*M10+(1-$D$2)*M12)*EXP(-$B$7*$B$5)</f>
        <v>13.596358759258509</v>
      </c>
      <c r="M11" s="1"/>
    </row>
    <row r="12" spans="1:13" x14ac:dyDescent="0.25">
      <c r="D12" s="43">
        <f>C11*$B$6</f>
        <v>73.959999999999994</v>
      </c>
      <c r="F12" s="43">
        <f t="shared" si="0"/>
        <v>78.234887999999998</v>
      </c>
      <c r="K12" s="46">
        <f>($D$2*L11+(1-$D$2)*L13)*EXP(-$B$7*$B$5)</f>
        <v>24.101144500755218</v>
      </c>
      <c r="M12" s="46">
        <f>MAX($B$3-F12,0)</f>
        <v>31.765112000000002</v>
      </c>
    </row>
    <row r="13" spans="1:13" x14ac:dyDescent="0.25">
      <c r="E13" s="43">
        <f>D12*$B$6</f>
        <v>63.605599999999995</v>
      </c>
      <c r="L13" s="46">
        <f>($D$2*M12+(1-$D$2)*M14)*EXP(-$B$7*$B$5)</f>
        <v>39.988498694267363</v>
      </c>
      <c r="M13" s="1"/>
    </row>
    <row r="14" spans="1:13" x14ac:dyDescent="0.25">
      <c r="F14" s="43">
        <f>E13*$B$6</f>
        <v>54.700815999999996</v>
      </c>
      <c r="M14" s="46">
        <f>MAX($B$3-F14,0)</f>
        <v>55.299184000000004</v>
      </c>
    </row>
    <row r="15" spans="1:13" x14ac:dyDescent="0.25">
      <c r="B15" s="73" t="s">
        <v>56</v>
      </c>
      <c r="C15" s="73"/>
      <c r="D15" s="73"/>
      <c r="E15" s="73"/>
      <c r="F15" s="73" t="s">
        <v>57</v>
      </c>
      <c r="G15" s="73"/>
      <c r="H15" s="73"/>
      <c r="M15" s="46"/>
    </row>
    <row r="16" spans="1:13" x14ac:dyDescent="0.25">
      <c r="E16" s="47">
        <f>(M6-M8)/(F6-F8)</f>
        <v>0</v>
      </c>
      <c r="I16" s="47">
        <f>L7-E16*E7</f>
        <v>0</v>
      </c>
    </row>
    <row r="17" spans="2:9" x14ac:dyDescent="0.25">
      <c r="D17" s="1">
        <f>(L7-L9)/(E7-E9)</f>
        <v>0</v>
      </c>
      <c r="H17" s="1">
        <f>K8-D17*D8</f>
        <v>0</v>
      </c>
    </row>
    <row r="18" spans="2:9" x14ac:dyDescent="0.25">
      <c r="C18" s="39">
        <f>(K8-K10)/(D8-D10)</f>
        <v>-0.12787569427157991</v>
      </c>
      <c r="E18" s="49">
        <f>(M8-M10)/(F8-F10)</f>
        <v>0</v>
      </c>
      <c r="G18" s="39">
        <f>J9-C18*C9</f>
        <v>18.219672179573909</v>
      </c>
      <c r="I18" s="49">
        <f>L9-E18*E9</f>
        <v>0</v>
      </c>
    </row>
    <row r="19" spans="2:9" x14ac:dyDescent="0.25">
      <c r="B19" s="51">
        <f>(J9-J11)/(C9-C11)</f>
        <v>-0.29229071804936968</v>
      </c>
      <c r="D19" s="1">
        <f>(L9-L11)/(E9-E11)</f>
        <v>-0.34739001290946814</v>
      </c>
      <c r="F19" s="51">
        <f>I10-B19*B10</f>
        <v>36.203990368681332</v>
      </c>
      <c r="H19" s="1">
        <f>K10-D19*D10</f>
        <v>42.566538411863142</v>
      </c>
    </row>
    <row r="20" spans="2:9" x14ac:dyDescent="0.25">
      <c r="C20" s="52">
        <f>(K10-K12)/(D10-D12)</f>
        <v>-0.57452927889552519</v>
      </c>
      <c r="E20" s="50">
        <f>(M10-M12)/(F10-F12)</f>
        <v>-0.94372759230493819</v>
      </c>
      <c r="G20" s="52">
        <f>J11-C20*C11</f>
        <v>62.715236337011419</v>
      </c>
      <c r="I20" s="50">
        <f>L11-E20*E11</f>
        <v>99.448012813312573</v>
      </c>
    </row>
    <row r="21" spans="2:9" x14ac:dyDescent="0.25">
      <c r="D21" s="1">
        <f>(L11-L13)/(E11-E13)</f>
        <v>-0.96444169730200602</v>
      </c>
      <c r="H21" s="1">
        <f>K12-D21*D12</f>
        <v>95.431252433211569</v>
      </c>
    </row>
    <row r="22" spans="2:9" x14ac:dyDescent="0.25">
      <c r="E22" s="48">
        <f>(M12-M14)/(F12-F14)</f>
        <v>-1</v>
      </c>
      <c r="I22" s="48">
        <f>L13-E22*E13</f>
        <v>103.59409869426736</v>
      </c>
    </row>
    <row r="23" spans="2:9" x14ac:dyDescent="0.25">
      <c r="D23" s="1"/>
    </row>
  </sheetData>
  <mergeCells count="5">
    <mergeCell ref="A1:B1"/>
    <mergeCell ref="B8:C8"/>
    <mergeCell ref="L1:M1"/>
    <mergeCell ref="B15:E15"/>
    <mergeCell ref="F15:H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130" zoomScaleNormal="130" workbookViewId="0">
      <selection activeCell="G5" sqref="G5"/>
    </sheetView>
  </sheetViews>
  <sheetFormatPr defaultColWidth="9.140625" defaultRowHeight="15" x14ac:dyDescent="0.25"/>
  <cols>
    <col min="1" max="1" width="13" customWidth="1"/>
    <col min="2" max="2" width="10" bestFit="1" customWidth="1"/>
    <col min="4" max="4" width="10.42578125" bestFit="1" customWidth="1"/>
    <col min="6" max="6" width="9.42578125" bestFit="1" customWidth="1"/>
  </cols>
  <sheetData>
    <row r="1" spans="1:8" x14ac:dyDescent="0.25">
      <c r="A1" t="s">
        <v>64</v>
      </c>
    </row>
    <row r="2" spans="1:8" x14ac:dyDescent="0.25">
      <c r="A2" s="84" t="s">
        <v>50</v>
      </c>
      <c r="B2" s="84"/>
      <c r="D2" t="s">
        <v>51</v>
      </c>
    </row>
    <row r="3" spans="1:8" ht="20.25" customHeight="1" x14ac:dyDescent="0.25">
      <c r="A3" s="60" t="s">
        <v>47</v>
      </c>
      <c r="B3" s="60">
        <v>50</v>
      </c>
      <c r="C3" s="61" t="s">
        <v>17</v>
      </c>
      <c r="D3" s="62">
        <f>(EXP(B8)-B7)/(B5-B7)</f>
        <v>0.52268361112516093</v>
      </c>
    </row>
    <row r="4" spans="1:8" x14ac:dyDescent="0.25">
      <c r="A4" s="60" t="s">
        <v>48</v>
      </c>
      <c r="B4" s="60">
        <v>70</v>
      </c>
    </row>
    <row r="5" spans="1:8" x14ac:dyDescent="0.25">
      <c r="A5" s="60" t="s">
        <v>8</v>
      </c>
      <c r="B5" s="60">
        <v>2</v>
      </c>
      <c r="D5" s="44" t="s">
        <v>55</v>
      </c>
      <c r="E5" s="44"/>
    </row>
    <row r="6" spans="1:8" x14ac:dyDescent="0.25">
      <c r="A6" s="60" t="s">
        <v>54</v>
      </c>
      <c r="B6" s="60">
        <v>1</v>
      </c>
      <c r="D6" s="44">
        <f>B5-EXP(B8)</f>
        <v>0.71597458331225861</v>
      </c>
      <c r="E6" s="44">
        <f>EXP(B8)-B7</f>
        <v>0.78402541668774139</v>
      </c>
    </row>
    <row r="7" spans="1:8" x14ac:dyDescent="0.25">
      <c r="A7" s="60" t="s">
        <v>9</v>
      </c>
      <c r="B7" s="60">
        <f>1/B5</f>
        <v>0.5</v>
      </c>
    </row>
    <row r="8" spans="1:8" x14ac:dyDescent="0.25">
      <c r="A8" s="60" t="s">
        <v>49</v>
      </c>
      <c r="B8" s="60">
        <f>1/4</f>
        <v>0.25</v>
      </c>
    </row>
    <row r="9" spans="1:8" x14ac:dyDescent="0.25">
      <c r="B9" s="71" t="s">
        <v>28</v>
      </c>
      <c r="C9" s="71"/>
      <c r="D9" s="71"/>
      <c r="F9" s="71" t="s">
        <v>58</v>
      </c>
      <c r="G9" s="71"/>
      <c r="H9" s="71"/>
    </row>
    <row r="10" spans="1:8" x14ac:dyDescent="0.25">
      <c r="B10" s="44" t="s">
        <v>61</v>
      </c>
      <c r="C10" s="44" t="s">
        <v>62</v>
      </c>
      <c r="D10" s="40" t="s">
        <v>63</v>
      </c>
      <c r="F10" s="44" t="s">
        <v>61</v>
      </c>
      <c r="G10" s="44" t="s">
        <v>62</v>
      </c>
      <c r="H10" s="40" t="s">
        <v>63</v>
      </c>
    </row>
    <row r="11" spans="1:8" x14ac:dyDescent="0.25">
      <c r="B11" s="71"/>
      <c r="C11" s="71"/>
      <c r="D11" s="43">
        <f>C12*$B$5</f>
        <v>200</v>
      </c>
      <c r="H11" s="46">
        <f>MAX($B$4-D11,0)</f>
        <v>0</v>
      </c>
    </row>
    <row r="12" spans="1:8" x14ac:dyDescent="0.25">
      <c r="C12" s="43">
        <f>B13*$B$5</f>
        <v>100</v>
      </c>
      <c r="G12" s="46">
        <f>($D$3*H11+(1-$D$3)*H13)*EXP(-$B$8*$B$6)</f>
        <v>7.4346875485707979</v>
      </c>
    </row>
    <row r="13" spans="1:8" x14ac:dyDescent="0.25">
      <c r="B13" s="43">
        <f>B3</f>
        <v>50</v>
      </c>
      <c r="D13" s="43">
        <f>C14*$B$5</f>
        <v>50</v>
      </c>
      <c r="F13" s="46">
        <f>($D$3*G12+(1-$D$3)*G14)*EXP(-$B$8*$B$6)</f>
        <v>13.998543798274547</v>
      </c>
      <c r="G13" s="66">
        <f>MAX(MAX($B$4-C12,0),G12)</f>
        <v>7.4346875485707979</v>
      </c>
      <c r="H13" s="46">
        <f>MAX($B$4-D13,0)</f>
        <v>20</v>
      </c>
    </row>
    <row r="14" spans="1:8" x14ac:dyDescent="0.25">
      <c r="C14" s="43">
        <f>B13*$B$7</f>
        <v>25</v>
      </c>
      <c r="F14" s="66">
        <f>MAX(MAX($B$4-B13,0),F13)</f>
        <v>20</v>
      </c>
      <c r="G14" s="46">
        <f>($D$3*H13+(1-$D$3)*H15)*EXP(-$B$8*$B$6)</f>
        <v>29.516054814998348</v>
      </c>
    </row>
    <row r="15" spans="1:8" x14ac:dyDescent="0.25">
      <c r="D15" s="43">
        <f>C14*$B$7</f>
        <v>12.5</v>
      </c>
      <c r="G15" s="66">
        <f>MAX(MAX($B$4-C14,0),G14)</f>
        <v>45</v>
      </c>
      <c r="H15" s="46">
        <f>MAX($B$4-D15,0)</f>
        <v>57.5</v>
      </c>
    </row>
    <row r="17" spans="1:8" x14ac:dyDescent="0.25">
      <c r="B17" s="44" t="s">
        <v>61</v>
      </c>
      <c r="C17" s="44" t="s">
        <v>62</v>
      </c>
      <c r="G17" s="66"/>
      <c r="H17" t="s">
        <v>72</v>
      </c>
    </row>
    <row r="18" spans="1:8" x14ac:dyDescent="0.25">
      <c r="B18" s="73" t="s">
        <v>56</v>
      </c>
      <c r="C18" s="73"/>
      <c r="D18" s="87" t="s">
        <v>57</v>
      </c>
      <c r="E18" s="87"/>
      <c r="F18" s="59"/>
    </row>
    <row r="19" spans="1:8" x14ac:dyDescent="0.25">
      <c r="B19" s="44" t="s">
        <v>61</v>
      </c>
      <c r="C19" s="44" t="s">
        <v>62</v>
      </c>
      <c r="D19" s="44" t="s">
        <v>61</v>
      </c>
      <c r="E19" s="44" t="s">
        <v>62</v>
      </c>
      <c r="F19" s="59"/>
    </row>
    <row r="20" spans="1:8" x14ac:dyDescent="0.25">
      <c r="C20" s="57">
        <f>(H11-H13)/(D11-D13)</f>
        <v>-0.13333333333333333</v>
      </c>
      <c r="E20" s="57">
        <f>G12-C20*C12</f>
        <v>20.768020881904132</v>
      </c>
    </row>
    <row r="21" spans="1:8" x14ac:dyDescent="0.25">
      <c r="B21" s="58">
        <f>(G12-G14)/(C12-C14)</f>
        <v>-0.29441823021903396</v>
      </c>
      <c r="D21" s="58">
        <f>F13-B21*B13</f>
        <v>28.719455309226245</v>
      </c>
    </row>
    <row r="22" spans="1:8" x14ac:dyDescent="0.25">
      <c r="C22" s="56">
        <f>(H13-H15)/(D13-D15)</f>
        <v>-1</v>
      </c>
      <c r="E22" s="56">
        <f>G14-C22*C14</f>
        <v>54.516054814998348</v>
      </c>
    </row>
    <row r="24" spans="1:8" x14ac:dyDescent="0.25">
      <c r="B24" t="s">
        <v>59</v>
      </c>
    </row>
    <row r="25" spans="1:8" ht="33" customHeight="1" x14ac:dyDescent="0.25">
      <c r="B25" s="88" t="s">
        <v>60</v>
      </c>
      <c r="C25" s="89"/>
      <c r="D25" s="89"/>
      <c r="E25" s="89"/>
      <c r="F25" s="89"/>
      <c r="G25" s="89"/>
      <c r="H25" s="89"/>
    </row>
    <row r="27" spans="1:8" x14ac:dyDescent="0.25">
      <c r="A27" t="s">
        <v>65</v>
      </c>
    </row>
    <row r="28" spans="1:8" x14ac:dyDescent="0.25">
      <c r="A28" s="84" t="s">
        <v>50</v>
      </c>
      <c r="B28" s="84"/>
      <c r="D28" t="s">
        <v>51</v>
      </c>
    </row>
    <row r="29" spans="1:8" x14ac:dyDescent="0.25">
      <c r="A29" s="60" t="s">
        <v>47</v>
      </c>
      <c r="B29" s="60">
        <v>1.2</v>
      </c>
      <c r="C29" s="61" t="s">
        <v>17</v>
      </c>
      <c r="D29" s="62">
        <f>(EXP((B34-B35)*B37)-B33)/(B31-B33)</f>
        <v>0.40727069767719792</v>
      </c>
    </row>
    <row r="30" spans="1:8" x14ac:dyDescent="0.25">
      <c r="A30" s="60" t="s">
        <v>48</v>
      </c>
      <c r="B30" s="60">
        <v>1.25</v>
      </c>
    </row>
    <row r="31" spans="1:8" x14ac:dyDescent="0.25">
      <c r="A31" s="60" t="s">
        <v>8</v>
      </c>
      <c r="B31" s="60">
        <v>1.0671600000000001</v>
      </c>
      <c r="D31" s="44" t="s">
        <v>55</v>
      </c>
      <c r="E31" s="44"/>
    </row>
    <row r="32" spans="1:8" x14ac:dyDescent="0.25">
      <c r="A32" s="60" t="s">
        <v>54</v>
      </c>
      <c r="B32" s="60">
        <v>1</v>
      </c>
      <c r="D32" s="44">
        <f>B31-EXP(B34)</f>
        <v>1.5888903623975992E-2</v>
      </c>
      <c r="E32" s="44">
        <f>EXP(B34)-B33</f>
        <v>0.11420448968162034</v>
      </c>
    </row>
    <row r="33" spans="1:9" x14ac:dyDescent="0.25">
      <c r="A33" s="60" t="s">
        <v>9</v>
      </c>
      <c r="B33" s="63">
        <f>1/B31</f>
        <v>0.93706660669440378</v>
      </c>
    </row>
    <row r="34" spans="1:9" x14ac:dyDescent="0.25">
      <c r="A34" s="60" t="s">
        <v>67</v>
      </c>
      <c r="B34" s="60">
        <f>5/100</f>
        <v>0.05</v>
      </c>
    </row>
    <row r="35" spans="1:9" x14ac:dyDescent="0.25">
      <c r="A35" s="60" t="s">
        <v>68</v>
      </c>
      <c r="B35" s="60">
        <f>9/100</f>
        <v>0.09</v>
      </c>
    </row>
    <row r="36" spans="1:9" x14ac:dyDescent="0.25">
      <c r="A36" s="60" t="s">
        <v>66</v>
      </c>
      <c r="B36" s="60">
        <f>9/12</f>
        <v>0.75</v>
      </c>
    </row>
    <row r="37" spans="1:9" x14ac:dyDescent="0.25">
      <c r="A37" s="60" t="s">
        <v>54</v>
      </c>
      <c r="B37" s="60">
        <f>3/12</f>
        <v>0.25</v>
      </c>
    </row>
    <row r="38" spans="1:9" x14ac:dyDescent="0.25">
      <c r="B38" s="85" t="s">
        <v>28</v>
      </c>
      <c r="C38" s="85"/>
      <c r="D38" s="85"/>
      <c r="E38" s="85"/>
      <c r="F38" s="85" t="s">
        <v>58</v>
      </c>
      <c r="G38" s="85"/>
      <c r="H38" s="85"/>
      <c r="I38" s="85"/>
    </row>
    <row r="39" spans="1:9" x14ac:dyDescent="0.25">
      <c r="B39" s="44" t="s">
        <v>61</v>
      </c>
      <c r="C39" s="44" t="s">
        <v>69</v>
      </c>
      <c r="D39" s="40" t="s">
        <v>70</v>
      </c>
      <c r="E39" s="40" t="s">
        <v>71</v>
      </c>
      <c r="F39" s="44" t="s">
        <v>61</v>
      </c>
      <c r="G39" s="44" t="s">
        <v>69</v>
      </c>
      <c r="H39" s="44" t="s">
        <v>70</v>
      </c>
      <c r="I39" s="44" t="s">
        <v>71</v>
      </c>
    </row>
    <row r="40" spans="1:9" x14ac:dyDescent="0.25">
      <c r="B40" s="44"/>
      <c r="C40" s="44"/>
      <c r="D40" s="40"/>
      <c r="E40" s="43">
        <f>D41*$B$5</f>
        <v>9.6</v>
      </c>
      <c r="F40" s="44"/>
      <c r="G40" s="44"/>
      <c r="H40" s="44"/>
      <c r="I40" s="46">
        <f>MAX(E40-$B$30,0)</f>
        <v>8.35</v>
      </c>
    </row>
    <row r="41" spans="1:9" x14ac:dyDescent="0.25">
      <c r="B41" s="71"/>
      <c r="C41" s="71"/>
      <c r="D41" s="43">
        <f>C42*$B$5</f>
        <v>4.8</v>
      </c>
      <c r="H41" s="46">
        <f>($D$29*I40+(1-$D$29)*I42)*EXP(-$B$34*$B$37)</f>
        <v>4.0316372692550839</v>
      </c>
    </row>
    <row r="42" spans="1:9" x14ac:dyDescent="0.25">
      <c r="C42" s="43">
        <f>B43*$B$5</f>
        <v>2.4</v>
      </c>
      <c r="E42" s="43">
        <f>D43*$B$5</f>
        <v>2.4</v>
      </c>
      <c r="G42" s="46">
        <f>($D$29*H41+(1-$D$29)*H43)*EXP(-$B$34*$B$37)</f>
        <v>1.8923280891861971</v>
      </c>
      <c r="H42" s="66">
        <f>MAX(MAX(D41-$B$30,0),H41)</f>
        <v>4.0316372692550839</v>
      </c>
      <c r="I42" s="46">
        <f>MAX(E42-$B$30,0)</f>
        <v>1.1499999999999999</v>
      </c>
    </row>
    <row r="43" spans="1:9" x14ac:dyDescent="0.25">
      <c r="B43" s="43">
        <f>B29</f>
        <v>1.2</v>
      </c>
      <c r="D43" s="43">
        <f>C44*$B$5</f>
        <v>1.2</v>
      </c>
      <c r="F43" s="46">
        <f>($D$29*G42+(1-$D$29)*G44)*EXP(-$B$34*$B$37)</f>
        <v>0.87001778499269367</v>
      </c>
      <c r="G43" s="66">
        <f>MAX(MAX(C42-$B$30,0),G42)</f>
        <v>1.8923280891861971</v>
      </c>
      <c r="H43" s="46">
        <f>($D$29*I42+(1-$D$29)*I44)*EXP(-$B$34*$B$37)</f>
        <v>0.46254322479030402</v>
      </c>
    </row>
    <row r="44" spans="1:9" x14ac:dyDescent="0.25">
      <c r="C44" s="43">
        <f>B43*$B$7</f>
        <v>0.6</v>
      </c>
      <c r="E44" s="43">
        <f>D45*$B$5</f>
        <v>0.6</v>
      </c>
      <c r="F44" s="66">
        <f>MAX(MAX(B43-$B$30,0),F43)</f>
        <v>0.87001778499269367</v>
      </c>
      <c r="G44" s="46">
        <f>($D$29*H43+(1-$D$29)*H45)*EXP(-$B$34*$B$37)</f>
        <v>0.18604020417340322</v>
      </c>
      <c r="H44" s="66">
        <f>MAX(MAX(D43-$B$30,0),H43)</f>
        <v>0.46254322479030402</v>
      </c>
      <c r="I44" s="46">
        <f>MAX(E44-$B$30,0)</f>
        <v>0</v>
      </c>
    </row>
    <row r="45" spans="1:9" x14ac:dyDescent="0.25">
      <c r="D45" s="43">
        <f>C44*$B$7</f>
        <v>0.3</v>
      </c>
      <c r="G45" s="66">
        <f>MAX(MAX(C44-$B$30,0),G44)</f>
        <v>0.18604020417340322</v>
      </c>
      <c r="H45" s="46">
        <f>($D$29*I44+(1-$D$29)*I46)*EXP(-$B$34*$B$37)</f>
        <v>0</v>
      </c>
    </row>
    <row r="46" spans="1:9" x14ac:dyDescent="0.25">
      <c r="E46" s="43">
        <f>D45*$B$7</f>
        <v>0.15</v>
      </c>
      <c r="H46" s="66">
        <f>MAX(MAX(D45-$B$30,0),H45)</f>
        <v>0</v>
      </c>
      <c r="I46" s="46">
        <f>MAX(E46-$B$30,0)</f>
        <v>0</v>
      </c>
    </row>
    <row r="47" spans="1:9" x14ac:dyDescent="0.25">
      <c r="B47" s="44" t="s">
        <v>61</v>
      </c>
      <c r="C47" s="44" t="s">
        <v>62</v>
      </c>
      <c r="F47" s="66"/>
      <c r="G47" t="s">
        <v>72</v>
      </c>
    </row>
    <row r="48" spans="1:9" x14ac:dyDescent="0.25">
      <c r="B48" s="85" t="s">
        <v>56</v>
      </c>
      <c r="C48" s="85"/>
      <c r="D48" s="85"/>
      <c r="F48" s="86" t="s">
        <v>57</v>
      </c>
      <c r="G48" s="86"/>
      <c r="H48" s="86"/>
    </row>
    <row r="49" spans="1:8" x14ac:dyDescent="0.25">
      <c r="B49" s="44" t="s">
        <v>61</v>
      </c>
      <c r="C49" s="44" t="s">
        <v>69</v>
      </c>
      <c r="D49" s="44" t="s">
        <v>70</v>
      </c>
      <c r="F49" s="44" t="s">
        <v>61</v>
      </c>
      <c r="G49" s="44" t="s">
        <v>69</v>
      </c>
      <c r="H49" s="44" t="s">
        <v>70</v>
      </c>
    </row>
    <row r="50" spans="1:8" x14ac:dyDescent="0.25">
      <c r="B50" s="44"/>
      <c r="C50" s="44"/>
      <c r="D50" s="55">
        <f>(I40-I42)/(E40-E42)</f>
        <v>1</v>
      </c>
      <c r="F50" s="44"/>
      <c r="G50" s="44"/>
      <c r="H50" s="55">
        <f>H41-D50*D41</f>
        <v>-0.7683627307449159</v>
      </c>
    </row>
    <row r="51" spans="1:8" x14ac:dyDescent="0.25">
      <c r="C51" s="64">
        <f>(H41-H43)/(D41-D43)</f>
        <v>0.9914150123513279</v>
      </c>
      <c r="G51" s="64">
        <f>G42-C51*C42</f>
        <v>-0.48706794045698976</v>
      </c>
    </row>
    <row r="52" spans="1:8" x14ac:dyDescent="0.25">
      <c r="B52" s="58">
        <f>(G42-G44)/(C42-C44)</f>
        <v>0.94793771389599668</v>
      </c>
      <c r="D52" s="65">
        <f>(I42-I44)/(E42-E44)</f>
        <v>0.63888888888888895</v>
      </c>
      <c r="F52" s="58">
        <f>F43-B52*B43</f>
        <v>-0.26750747168250222</v>
      </c>
      <c r="H52" s="65">
        <f>H43-D52*D43</f>
        <v>-0.3041234418763627</v>
      </c>
    </row>
    <row r="53" spans="1:8" x14ac:dyDescent="0.25">
      <c r="C53" s="56">
        <f>(H43-H45)/(D43-D45)</f>
        <v>0.51393691643367123</v>
      </c>
      <c r="G53" s="56">
        <f>G44-C53*C44</f>
        <v>-0.12232194568679949</v>
      </c>
    </row>
    <row r="54" spans="1:8" x14ac:dyDescent="0.25">
      <c r="D54" s="57">
        <f>(I44-I46)/(E44-E46)</f>
        <v>0</v>
      </c>
      <c r="H54" s="57">
        <f>H45-D54*D45</f>
        <v>0</v>
      </c>
    </row>
    <row r="55" spans="1:8" x14ac:dyDescent="0.25">
      <c r="A55" t="s">
        <v>73</v>
      </c>
    </row>
    <row r="56" spans="1:8" x14ac:dyDescent="0.25">
      <c r="A56" s="84" t="s">
        <v>50</v>
      </c>
      <c r="B56" s="84"/>
      <c r="D56" t="s">
        <v>51</v>
      </c>
    </row>
    <row r="57" spans="1:8" x14ac:dyDescent="0.25">
      <c r="A57" s="60" t="s">
        <v>47</v>
      </c>
      <c r="B57" s="60">
        <v>60</v>
      </c>
      <c r="C57" s="61" t="s">
        <v>17</v>
      </c>
      <c r="D57" s="62">
        <f>(EXP((B61-B62)*B64)-B60)/(B59-B60)</f>
        <v>0.45592055665077391</v>
      </c>
    </row>
    <row r="58" spans="1:8" x14ac:dyDescent="0.25">
      <c r="A58" s="60" t="s">
        <v>48</v>
      </c>
      <c r="B58" s="60">
        <v>60</v>
      </c>
    </row>
    <row r="59" spans="1:8" x14ac:dyDescent="0.25">
      <c r="A59" s="60" t="s">
        <v>8</v>
      </c>
      <c r="B59" s="63">
        <f>EXP(B65*SQRT(B64))</f>
        <v>1.1933645794479497</v>
      </c>
      <c r="D59" s="54" t="s">
        <v>55</v>
      </c>
      <c r="E59" s="54"/>
    </row>
    <row r="60" spans="1:8" x14ac:dyDescent="0.25">
      <c r="A60" s="60" t="s">
        <v>9</v>
      </c>
      <c r="B60" s="63">
        <f>1/B59</f>
        <v>0.83796688557875576</v>
      </c>
    </row>
    <row r="61" spans="1:8" x14ac:dyDescent="0.25">
      <c r="A61" s="60" t="s">
        <v>78</v>
      </c>
      <c r="B61" s="60">
        <f>3/100</f>
        <v>0.03</v>
      </c>
    </row>
    <row r="62" spans="1:8" x14ac:dyDescent="0.25">
      <c r="A62" s="60" t="s">
        <v>77</v>
      </c>
      <c r="B62" s="60">
        <v>0.03</v>
      </c>
    </row>
    <row r="63" spans="1:8" x14ac:dyDescent="0.25">
      <c r="A63" s="60" t="s">
        <v>66</v>
      </c>
      <c r="B63" s="60">
        <f>18/12</f>
        <v>1.5</v>
      </c>
    </row>
    <row r="64" spans="1:8" x14ac:dyDescent="0.25">
      <c r="A64" s="60" t="s">
        <v>54</v>
      </c>
      <c r="B64" s="60">
        <f>6/12</f>
        <v>0.5</v>
      </c>
    </row>
    <row r="65" spans="1:9" x14ac:dyDescent="0.25">
      <c r="A65" s="60" t="s">
        <v>74</v>
      </c>
      <c r="B65" s="60">
        <f>0.25</f>
        <v>0.25</v>
      </c>
    </row>
    <row r="66" spans="1:9" s="68" customFormat="1" ht="14.25" customHeight="1" x14ac:dyDescent="0.25">
      <c r="B66" s="85" t="s">
        <v>28</v>
      </c>
      <c r="C66" s="85"/>
      <c r="D66" s="85"/>
      <c r="E66" s="85"/>
      <c r="F66" s="85" t="s">
        <v>79</v>
      </c>
      <c r="G66" s="85"/>
      <c r="H66" s="85"/>
      <c r="I66" s="85"/>
    </row>
    <row r="67" spans="1:9" x14ac:dyDescent="0.25">
      <c r="B67" s="54" t="s">
        <v>61</v>
      </c>
      <c r="C67" s="54" t="s">
        <v>70</v>
      </c>
      <c r="D67" s="53" t="s">
        <v>75</v>
      </c>
      <c r="E67" s="53" t="s">
        <v>76</v>
      </c>
      <c r="F67" s="54" t="s">
        <v>61</v>
      </c>
      <c r="G67" s="54" t="s">
        <v>70</v>
      </c>
      <c r="H67" s="53" t="s">
        <v>75</v>
      </c>
      <c r="I67" s="53" t="s">
        <v>76</v>
      </c>
    </row>
    <row r="68" spans="1:9" x14ac:dyDescent="0.25">
      <c r="B68" s="54"/>
      <c r="C68" s="54"/>
      <c r="D68" s="53"/>
      <c r="E68" s="43">
        <f>D69*$B$59</f>
        <v>101.96959168600492</v>
      </c>
      <c r="F68" s="54"/>
      <c r="G68" s="54"/>
      <c r="H68" s="54"/>
      <c r="I68" s="46">
        <f>MAX(E68-$B$58,0)</f>
        <v>41.969591686004918</v>
      </c>
    </row>
    <row r="69" spans="1:9" x14ac:dyDescent="0.25">
      <c r="B69" s="71"/>
      <c r="C69" s="71"/>
      <c r="D69" s="43">
        <f>C70*$B$59</f>
        <v>85.44714116885892</v>
      </c>
      <c r="H69" s="46">
        <f>($D$57*I68+(1-$D$57)*I70)*EXP(-$B$61*$B$64)</f>
        <v>25.068282594207556</v>
      </c>
    </row>
    <row r="70" spans="1:9" x14ac:dyDescent="0.25">
      <c r="C70" s="43">
        <f>B71*$B$59</f>
        <v>71.601874766876989</v>
      </c>
      <c r="E70" s="43">
        <f>D71*$B$59</f>
        <v>71.601874766876989</v>
      </c>
      <c r="G70" s="69">
        <f>($D$57*H69+(1-$D$57)*H71)*EXP(-$B$61*$B$64)</f>
        <v>14.051858252681564</v>
      </c>
      <c r="H70" s="66">
        <f>MAX(MAX(D69-$B$58,0),H69)</f>
        <v>25.44714116885892</v>
      </c>
      <c r="I70" s="46">
        <f>MAX(E70-$B$58,0)</f>
        <v>11.601874766876989</v>
      </c>
    </row>
    <row r="71" spans="1:9" x14ac:dyDescent="0.25">
      <c r="B71" s="43">
        <f>B57</f>
        <v>60</v>
      </c>
      <c r="D71" s="43">
        <f>C72*$B$59</f>
        <v>60.000000000000007</v>
      </c>
      <c r="F71" s="46">
        <f>($D$57*G70+(1-$D$57)*G72)*EXP(-$B$61*$B$64)</f>
        <v>7.5655200099711841</v>
      </c>
      <c r="G71" s="70">
        <f>MAX(MAX(C70-$B$58,0),G70)</f>
        <v>14.051858252681564</v>
      </c>
      <c r="H71" s="46">
        <f>($D$57*I70+(1-$D$57)*I72)*EXP(-$B$61*$B$64)</f>
        <v>5.2107823121255255</v>
      </c>
    </row>
    <row r="72" spans="1:9" x14ac:dyDescent="0.25">
      <c r="C72" s="43">
        <f>B71*$B$60</f>
        <v>50.278013134725349</v>
      </c>
      <c r="E72" s="43">
        <f>D73*$B$59</f>
        <v>50.278013134725349</v>
      </c>
      <c r="F72" s="66">
        <f>MAX(MAX(B71-$B$58,0),F71)</f>
        <v>7.5655200099711841</v>
      </c>
      <c r="G72" s="69">
        <f>($D$57*H71+(1-$D$57)*H73)*EXP(-$B$61*$B$64)</f>
        <v>2.3403331659706517</v>
      </c>
      <c r="H72" s="66">
        <f>MAX(MAX(D71-$B$58,0),H71)</f>
        <v>5.2107823121255255</v>
      </c>
      <c r="I72" s="46">
        <f>MAX(E72-$B$58,0)</f>
        <v>0</v>
      </c>
    </row>
    <row r="73" spans="1:9" x14ac:dyDescent="0.25">
      <c r="D73" s="43">
        <f>C72*$B$60</f>
        <v>42.131310079593575</v>
      </c>
      <c r="G73" s="70">
        <f>MAX(MAX(C72-$B$58,0),G72)</f>
        <v>2.3403331659706517</v>
      </c>
      <c r="H73" s="46">
        <f>($D$57*I72+(1-$D$57)*I74)*EXP(-$B$61*$B$64)</f>
        <v>0</v>
      </c>
    </row>
    <row r="74" spans="1:9" x14ac:dyDescent="0.25">
      <c r="E74" s="43">
        <f>D73*$B$60</f>
        <v>35.304642692749866</v>
      </c>
      <c r="H74" s="66">
        <f>MAX(MAX(D73-$B$58,0),H73)</f>
        <v>0</v>
      </c>
      <c r="I74" s="46">
        <f>MAX(E74-$B$58,0)</f>
        <v>0</v>
      </c>
    </row>
    <row r="75" spans="1:9" x14ac:dyDescent="0.25">
      <c r="B75" s="54" t="s">
        <v>61</v>
      </c>
      <c r="C75" s="54" t="s">
        <v>62</v>
      </c>
      <c r="F75" s="66"/>
      <c r="G75" t="s">
        <v>81</v>
      </c>
    </row>
    <row r="76" spans="1:9" x14ac:dyDescent="0.25">
      <c r="B76" s="85" t="s">
        <v>80</v>
      </c>
      <c r="C76" s="85"/>
      <c r="D76" s="85"/>
      <c r="F76" s="86" t="s">
        <v>57</v>
      </c>
      <c r="G76" s="86"/>
      <c r="H76" s="86"/>
    </row>
    <row r="77" spans="1:9" x14ac:dyDescent="0.25">
      <c r="B77" s="54" t="s">
        <v>61</v>
      </c>
      <c r="C77" s="54" t="s">
        <v>69</v>
      </c>
      <c r="D77" s="54" t="s">
        <v>70</v>
      </c>
      <c r="F77" s="54" t="s">
        <v>61</v>
      </c>
      <c r="G77" s="54" t="s">
        <v>69</v>
      </c>
      <c r="H77" s="54" t="s">
        <v>70</v>
      </c>
    </row>
    <row r="78" spans="1:9" x14ac:dyDescent="0.25">
      <c r="B78" s="67"/>
      <c r="C78" s="67"/>
      <c r="D78" s="55">
        <f>H79</f>
        <v>-60.37885857465136</v>
      </c>
      <c r="F78" s="67"/>
      <c r="G78" s="67"/>
      <c r="H78" s="67"/>
    </row>
    <row r="79" spans="1:9" s="68" customFormat="1" x14ac:dyDescent="0.25">
      <c r="B79" s="67"/>
      <c r="C79" s="64">
        <f>G80</f>
        <v>-41.822168575952524</v>
      </c>
      <c r="D79" s="55">
        <f>(I68-I70)/(E68-E70)</f>
        <v>1</v>
      </c>
      <c r="F79" s="67"/>
      <c r="G79" s="67"/>
      <c r="H79" s="55">
        <f>H69-D79*D69</f>
        <v>-60.37885857465136</v>
      </c>
    </row>
    <row r="80" spans="1:9" x14ac:dyDescent="0.25">
      <c r="A80" t="s">
        <v>57</v>
      </c>
      <c r="B80" s="90">
        <f>F81</f>
        <v>-25.38777509785076</v>
      </c>
      <c r="C80" s="64">
        <f>(H69-H71)/(D69-D71)</f>
        <v>0.78034307077223908</v>
      </c>
      <c r="D80" s="65">
        <f>H81</f>
        <v>-27.433984288828057</v>
      </c>
      <c r="G80" s="64">
        <f>G70-C80*C70</f>
        <v>-41.822168575952524</v>
      </c>
    </row>
    <row r="81" spans="1:8" x14ac:dyDescent="0.25">
      <c r="A81" t="s">
        <v>56</v>
      </c>
      <c r="B81" s="58">
        <f>(G70-G72)/(C70-C72)</f>
        <v>0.54922158513036579</v>
      </c>
      <c r="C81" s="56">
        <f>G82</f>
        <v>-12.321501736209051</v>
      </c>
      <c r="D81" s="65">
        <f>(I70-I72)/(E70-E72)</f>
        <v>0.54407944334922631</v>
      </c>
      <c r="F81" s="58">
        <f>F71-B81*B71</f>
        <v>-25.38777509785076</v>
      </c>
      <c r="H81" s="65">
        <f>H71-D81*D71</f>
        <v>-27.433984288828057</v>
      </c>
    </row>
    <row r="82" spans="1:8" x14ac:dyDescent="0.25">
      <c r="C82" s="56">
        <f>(H71-H73)/(D71-D73)</f>
        <v>0.2916152406995825</v>
      </c>
      <c r="D82" s="57">
        <f>H83</f>
        <v>0</v>
      </c>
      <c r="G82" s="56">
        <f>G72-C82*C72</f>
        <v>-12.321501736209051</v>
      </c>
    </row>
    <row r="83" spans="1:8" x14ac:dyDescent="0.25">
      <c r="D83" s="57">
        <f>(I72-I74)/(E72-E74)</f>
        <v>0</v>
      </c>
      <c r="H83" s="57">
        <f>H73-D83*D73</f>
        <v>0</v>
      </c>
    </row>
  </sheetData>
  <mergeCells count="19">
    <mergeCell ref="F38:I38"/>
    <mergeCell ref="B38:E38"/>
    <mergeCell ref="B48:D48"/>
    <mergeCell ref="F48:H48"/>
    <mergeCell ref="F9:H9"/>
    <mergeCell ref="B25:H25"/>
    <mergeCell ref="A28:B28"/>
    <mergeCell ref="B41:C41"/>
    <mergeCell ref="A2:B2"/>
    <mergeCell ref="B11:C11"/>
    <mergeCell ref="B18:C18"/>
    <mergeCell ref="D18:E18"/>
    <mergeCell ref="B9:D9"/>
    <mergeCell ref="A56:B56"/>
    <mergeCell ref="B66:E66"/>
    <mergeCell ref="F66:I66"/>
    <mergeCell ref="B69:C69"/>
    <mergeCell ref="B76:D76"/>
    <mergeCell ref="F76:H76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Mid2_P1</vt:lpstr>
      <vt:lpstr>currency</vt:lpstr>
      <vt:lpstr>HK1</vt:lpstr>
      <vt:lpstr>HK2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2016-12-22T20:01:38Z</cp:lastPrinted>
  <dcterms:created xsi:type="dcterms:W3CDTF">2016-12-05T10:33:36Z</dcterms:created>
  <dcterms:modified xsi:type="dcterms:W3CDTF">2017-03-15T18:59:00Z</dcterms:modified>
</cp:coreProperties>
</file>