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2"/>
  </bookViews>
  <sheets>
    <sheet name="forward_contract" sheetId="1" r:id="rId1"/>
    <sheet name="forward_contract_final" sheetId="4" r:id="rId2"/>
    <sheet name="futures_contract" sheetId="2" r:id="rId3"/>
    <sheet name="Sheet3" sheetId="3" r:id="rId4"/>
  </sheets>
  <calcPr calcId="124519"/>
</workbook>
</file>

<file path=xl/calcChain.xml><?xml version="1.0" encoding="utf-8"?>
<calcChain xmlns="http://schemas.openxmlformats.org/spreadsheetml/2006/main">
  <c r="J18" i="2"/>
  <c r="J20"/>
  <c r="J2"/>
  <c r="B14"/>
  <c r="F7" l="1"/>
  <c r="H7" s="1"/>
  <c r="F8"/>
  <c r="H8" s="1"/>
  <c r="F9"/>
  <c r="H9" s="1"/>
  <c r="F10"/>
  <c r="F11"/>
  <c r="H11" s="1"/>
  <c r="F12"/>
  <c r="H12" s="1"/>
  <c r="F13"/>
  <c r="H13" s="1"/>
  <c r="F14"/>
  <c r="H14" s="1"/>
  <c r="F15"/>
  <c r="H15" s="1"/>
  <c r="F6"/>
  <c r="D6"/>
  <c r="D7"/>
  <c r="D8"/>
  <c r="D9"/>
  <c r="D10"/>
  <c r="D11"/>
  <c r="D12"/>
  <c r="D13"/>
  <c r="D14"/>
  <c r="D15"/>
  <c r="F19" s="1"/>
  <c r="H19" s="1"/>
  <c r="D5"/>
  <c r="G5"/>
  <c r="B10"/>
  <c r="B11" s="1"/>
  <c r="B12" s="1"/>
  <c r="B3" i="4"/>
  <c r="C8" s="1"/>
  <c r="C9" s="1"/>
  <c r="B3" i="1"/>
  <c r="C14"/>
  <c r="C9"/>
  <c r="C13" s="1"/>
  <c r="C10"/>
  <c r="J12" i="2" l="1"/>
  <c r="J9"/>
  <c r="J8"/>
  <c r="H6"/>
  <c r="F16"/>
  <c r="G6"/>
  <c r="G7" s="1"/>
  <c r="G8" s="1"/>
  <c r="G9" s="1"/>
  <c r="G10" s="1"/>
  <c r="G11" s="1"/>
  <c r="G12" s="1"/>
  <c r="G13" s="1"/>
  <c r="G14" s="1"/>
  <c r="G15" s="1"/>
  <c r="G18" s="1"/>
  <c r="F20" s="1"/>
  <c r="J13"/>
  <c r="J6"/>
  <c r="J14"/>
  <c r="J15"/>
  <c r="J11"/>
  <c r="J7"/>
  <c r="I5"/>
  <c r="H10"/>
  <c r="J10" s="1"/>
  <c r="C18" i="1"/>
  <c r="C17"/>
  <c r="C12"/>
  <c r="C15"/>
  <c r="C20" s="1"/>
  <c r="E1"/>
  <c r="E2" s="1"/>
  <c r="F2" s="1"/>
  <c r="E3"/>
  <c r="I6" i="2" l="1"/>
  <c r="I7" s="1"/>
  <c r="I8" s="1"/>
  <c r="I9" s="1"/>
  <c r="I10" s="1"/>
  <c r="I11" s="1"/>
  <c r="I12" s="1"/>
  <c r="I13" s="1"/>
  <c r="I14" s="1"/>
  <c r="I15" s="1"/>
  <c r="J16"/>
  <c r="H16"/>
  <c r="C21" i="1"/>
  <c r="F3"/>
  <c r="E4"/>
  <c r="I18" i="2" l="1"/>
  <c r="H20" s="1"/>
  <c r="F4" i="1"/>
  <c r="E5"/>
  <c r="E6" l="1"/>
  <c r="F5"/>
  <c r="F6" l="1"/>
  <c r="E7"/>
  <c r="F7" l="1"/>
  <c r="E8"/>
  <c r="E9" l="1"/>
  <c r="F8"/>
  <c r="E10" l="1"/>
  <c r="F9"/>
  <c r="F10" l="1"/>
  <c r="E11"/>
  <c r="F11" l="1"/>
  <c r="E12"/>
  <c r="E13" l="1"/>
  <c r="F12"/>
  <c r="E14" l="1"/>
  <c r="F13"/>
  <c r="F14" l="1"/>
  <c r="E15"/>
  <c r="E16" l="1"/>
  <c r="F15"/>
  <c r="E17" l="1"/>
  <c r="F16"/>
  <c r="E18" l="1"/>
  <c r="F17"/>
  <c r="F18" l="1"/>
  <c r="E19"/>
  <c r="E20" l="1"/>
  <c r="F19"/>
  <c r="F20" l="1"/>
  <c r="E21"/>
  <c r="E22" l="1"/>
  <c r="F22" s="1"/>
  <c r="F21"/>
</calcChain>
</file>

<file path=xl/sharedStrings.xml><?xml version="1.0" encoding="utf-8"?>
<sst xmlns="http://schemas.openxmlformats.org/spreadsheetml/2006/main" count="70" uniqueCount="52">
  <si>
    <t>forward price</t>
  </si>
  <si>
    <t>28/03/2016</t>
  </si>
  <si>
    <t>Delivery date</t>
  </si>
  <si>
    <t>Notional</t>
  </si>
  <si>
    <t xml:space="preserve">Al Rajhi </t>
  </si>
  <si>
    <t>Today</t>
  </si>
  <si>
    <t>21/03/2016</t>
  </si>
  <si>
    <t>Payoff of forward contract (LP)</t>
  </si>
  <si>
    <t>S_T-F_0</t>
  </si>
  <si>
    <t>phisical delivery</t>
  </si>
  <si>
    <t>1000 shares</t>
  </si>
  <si>
    <t>cash delivery</t>
  </si>
  <si>
    <t>expected price up</t>
  </si>
  <si>
    <t>expected price down</t>
  </si>
  <si>
    <t>UP</t>
  </si>
  <si>
    <t>DOWN</t>
  </si>
  <si>
    <t>Seller A</t>
  </si>
  <si>
    <t>Buyer B</t>
  </si>
  <si>
    <t xml:space="preserve">If up </t>
  </si>
  <si>
    <t>If down</t>
  </si>
  <si>
    <t>the buyer is going to pay the seller the amount</t>
  </si>
  <si>
    <t>Futures price</t>
  </si>
  <si>
    <t>Week</t>
  </si>
  <si>
    <t>Futures
price</t>
  </si>
  <si>
    <t>Notional (size)</t>
  </si>
  <si>
    <t xml:space="preserve">LP Margin
balance 10% </t>
  </si>
  <si>
    <t>LP Price 
change</t>
  </si>
  <si>
    <t>Compare with a forward contract if the forward price = 1100</t>
  </si>
  <si>
    <t>multiplier</t>
  </si>
  <si>
    <t>One contract of S&amp;P500</t>
  </si>
  <si>
    <t>S&amp;P500</t>
  </si>
  <si>
    <t xml:space="preserve">Underlying </t>
  </si>
  <si>
    <t>weekly</t>
  </si>
  <si>
    <t>SP Price 
change</t>
  </si>
  <si>
    <t xml:space="preserve">SP Margin
balance 10% </t>
  </si>
  <si>
    <t>Interest rate</t>
  </si>
  <si>
    <t xml:space="preserve">Maturity </t>
  </si>
  <si>
    <t>10 weeks</t>
  </si>
  <si>
    <t>Buyer</t>
  </si>
  <si>
    <t>Seller</t>
  </si>
  <si>
    <t>Clearinghouse</t>
  </si>
  <si>
    <t>Futures contract</t>
  </si>
  <si>
    <t>Forward contract</t>
  </si>
  <si>
    <t>Futures contract on S&amp;P500 index</t>
  </si>
  <si>
    <t>Multiplier =
Number of contracts
* size of one contract</t>
  </si>
  <si>
    <t>clearinghouse</t>
  </si>
  <si>
    <t xml:space="preserve">You wish to acquire </t>
  </si>
  <si>
    <t xml:space="preserve">Settlement </t>
  </si>
  <si>
    <t>Number of contracts</t>
  </si>
  <si>
    <t>Practice for two weeks March 20-29, 2016</t>
  </si>
  <si>
    <t>Commission for each part</t>
  </si>
  <si>
    <t>Difference between forward and futures contract</t>
  </si>
</sst>
</file>

<file path=xl/styles.xml><?xml version="1.0" encoding="utf-8"?>
<styleSheet xmlns="http://schemas.openxmlformats.org/spreadsheetml/2006/main">
  <numFmts count="4">
    <numFmt numFmtId="43" formatCode="_-* #,##0.00_-;_-* #,##0.00\-;_-* &quot;-&quot;??_-;_-@_-"/>
    <numFmt numFmtId="164" formatCode="0.000"/>
    <numFmt numFmtId="165" formatCode="0.0000"/>
    <numFmt numFmtId="166" formatCode="0.00_ ;\-0.00\ "/>
  </numFmts>
  <fonts count="9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9">
    <xf numFmtId="0" fontId="0" fillId="0" borderId="0" xfId="0"/>
    <xf numFmtId="0" fontId="1" fillId="0" borderId="1" xfId="0" applyFont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165" fontId="1" fillId="2" borderId="1" xfId="0" applyNumberFormat="1" applyFont="1" applyFill="1" applyBorder="1" applyAlignment="1">
      <alignment vertical="center"/>
    </xf>
    <xf numFmtId="165" fontId="1" fillId="3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164" fontId="1" fillId="4" borderId="1" xfId="0" applyNumberFormat="1" applyFont="1" applyFill="1" applyBorder="1" applyAlignment="1">
      <alignment horizontal="center" vertical="center"/>
    </xf>
    <xf numFmtId="165" fontId="1" fillId="5" borderId="1" xfId="0" applyNumberFormat="1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/>
    </xf>
    <xf numFmtId="165" fontId="2" fillId="7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0" fillId="9" borderId="0" xfId="0" applyFill="1"/>
    <xf numFmtId="0" fontId="4" fillId="9" borderId="1" xfId="0" applyFont="1" applyFill="1" applyBorder="1" applyAlignment="1">
      <alignment horizontal="center" vertical="center"/>
    </xf>
    <xf numFmtId="2" fontId="4" fillId="9" borderId="1" xfId="0" applyNumberFormat="1" applyFont="1" applyFill="1" applyBorder="1" applyAlignment="1">
      <alignment horizontal="center" vertical="center"/>
    </xf>
    <xf numFmtId="166" fontId="5" fillId="6" borderId="1" xfId="1" applyNumberFormat="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2" fontId="4" fillId="12" borderId="1" xfId="0" applyNumberFormat="1" applyFont="1" applyFill="1" applyBorder="1" applyAlignment="1">
      <alignment horizontal="center" vertical="center"/>
    </xf>
    <xf numFmtId="2" fontId="4" fillId="13" borderId="1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vertical="center"/>
    </xf>
    <xf numFmtId="166" fontId="5" fillId="6" borderId="3" xfId="1" applyNumberFormat="1" applyFont="1" applyFill="1" applyBorder="1" applyAlignment="1">
      <alignment horizontal="center" vertical="center"/>
    </xf>
    <xf numFmtId="0" fontId="7" fillId="9" borderId="7" xfId="0" applyFont="1" applyFill="1" applyBorder="1" applyAlignment="1">
      <alignment horizontal="center" vertical="center"/>
    </xf>
    <xf numFmtId="2" fontId="7" fillId="11" borderId="3" xfId="0" applyNumberFormat="1" applyFont="1" applyFill="1" applyBorder="1" applyAlignment="1">
      <alignment horizontal="center" vertical="center"/>
    </xf>
    <xf numFmtId="0" fontId="5" fillId="9" borderId="3" xfId="0" applyFont="1" applyFill="1" applyBorder="1"/>
    <xf numFmtId="0" fontId="7" fillId="9" borderId="1" xfId="0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" fontId="8" fillId="9" borderId="3" xfId="0" applyNumberFormat="1" applyFont="1" applyFill="1" applyBorder="1" applyAlignment="1">
      <alignment horizontal="center" vertical="center"/>
    </xf>
    <xf numFmtId="0" fontId="0" fillId="9" borderId="3" xfId="0" applyFill="1" applyBorder="1"/>
    <xf numFmtId="2" fontId="7" fillId="10" borderId="11" xfId="0" applyNumberFormat="1" applyFont="1" applyFill="1" applyBorder="1" applyAlignment="1">
      <alignment horizontal="center" vertical="center"/>
    </xf>
    <xf numFmtId="2" fontId="7" fillId="10" borderId="5" xfId="0" applyNumberFormat="1" applyFont="1" applyFill="1" applyBorder="1" applyAlignment="1">
      <alignment horizontal="center" vertical="center"/>
    </xf>
    <xf numFmtId="0" fontId="7" fillId="9" borderId="6" xfId="0" applyFont="1" applyFill="1" applyBorder="1" applyAlignment="1">
      <alignment horizontal="center" vertical="center"/>
    </xf>
    <xf numFmtId="2" fontId="7" fillId="10" borderId="6" xfId="0" applyNumberFormat="1" applyFont="1" applyFill="1" applyBorder="1" applyAlignment="1">
      <alignment vertical="center"/>
    </xf>
    <xf numFmtId="0" fontId="7" fillId="9" borderId="6" xfId="0" applyFont="1" applyFill="1" applyBorder="1" applyAlignment="1">
      <alignment vertical="center"/>
    </xf>
    <xf numFmtId="0" fontId="7" fillId="9" borderId="12" xfId="0" applyFont="1" applyFill="1" applyBorder="1" applyAlignment="1">
      <alignment vertical="center"/>
    </xf>
    <xf numFmtId="2" fontId="7" fillId="9" borderId="12" xfId="0" applyNumberFormat="1" applyFont="1" applyFill="1" applyBorder="1" applyAlignment="1">
      <alignment vertical="center"/>
    </xf>
    <xf numFmtId="0" fontId="5" fillId="9" borderId="12" xfId="0" applyFont="1" applyFill="1" applyBorder="1"/>
    <xf numFmtId="0" fontId="0" fillId="0" borderId="0" xfId="0" applyBorder="1"/>
    <xf numFmtId="0" fontId="7" fillId="9" borderId="12" xfId="0" applyFont="1" applyFill="1" applyBorder="1" applyAlignment="1">
      <alignment horizontal="center" vertical="center"/>
    </xf>
    <xf numFmtId="2" fontId="7" fillId="10" borderId="6" xfId="0" applyNumberFormat="1" applyFont="1" applyFill="1" applyBorder="1" applyAlignment="1">
      <alignment horizontal="center" vertical="center"/>
    </xf>
    <xf numFmtId="2" fontId="7" fillId="11" borderId="8" xfId="0" applyNumberFormat="1" applyFont="1" applyFill="1" applyBorder="1" applyAlignment="1">
      <alignment horizontal="center" vertical="center"/>
    </xf>
    <xf numFmtId="2" fontId="7" fillId="11" borderId="9" xfId="0" applyNumberFormat="1" applyFont="1" applyFill="1" applyBorder="1" applyAlignment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Pr>
        <a:bodyPr/>
        <a:lstStyle/>
        <a:p>
          <a:pPr>
            <a:defRPr lang="en-US"/>
          </a:pPr>
          <a:endParaRPr lang="fr-FR"/>
        </a:p>
      </c:txPr>
    </c:title>
    <c:plotArea>
      <c:layout>
        <c:manualLayout>
          <c:layoutTarget val="inner"/>
          <c:xMode val="edge"/>
          <c:yMode val="edge"/>
          <c:x val="7.3624290857808375E-2"/>
          <c:y val="0.23435982715900969"/>
          <c:w val="0.89742953094228217"/>
          <c:h val="0.7378694075454314"/>
        </c:manualLayout>
      </c:layout>
      <c:lineChart>
        <c:grouping val="percentStacked"/>
        <c:ser>
          <c:idx val="0"/>
          <c:order val="0"/>
          <c:marker>
            <c:symbol val="none"/>
          </c:marker>
          <c:val>
            <c:numRef>
              <c:f>forward_contract!$F$2:$F$22</c:f>
              <c:numCache>
                <c:formatCode>0.0000</c:formatCode>
                <c:ptCount val="21"/>
                <c:pt idx="0">
                  <c:v>-35</c:v>
                </c:pt>
                <c:pt idx="1">
                  <c:v>-30</c:v>
                </c:pt>
                <c:pt idx="2">
                  <c:v>-25</c:v>
                </c:pt>
                <c:pt idx="3">
                  <c:v>-20</c:v>
                </c:pt>
                <c:pt idx="4">
                  <c:v>-15</c:v>
                </c:pt>
                <c:pt idx="5">
                  <c:v>-10</c:v>
                </c:pt>
                <c:pt idx="6">
                  <c:v>-5</c:v>
                </c:pt>
                <c:pt idx="7">
                  <c:v>0</c:v>
                </c:pt>
                <c:pt idx="8">
                  <c:v>5</c:v>
                </c:pt>
                <c:pt idx="9">
                  <c:v>10</c:v>
                </c:pt>
                <c:pt idx="10">
                  <c:v>15</c:v>
                </c:pt>
                <c:pt idx="11">
                  <c:v>20</c:v>
                </c:pt>
                <c:pt idx="12">
                  <c:v>25</c:v>
                </c:pt>
                <c:pt idx="13">
                  <c:v>30</c:v>
                </c:pt>
                <c:pt idx="14">
                  <c:v>35</c:v>
                </c:pt>
                <c:pt idx="15">
                  <c:v>40</c:v>
                </c:pt>
                <c:pt idx="16">
                  <c:v>45</c:v>
                </c:pt>
                <c:pt idx="17">
                  <c:v>50</c:v>
                </c:pt>
                <c:pt idx="18">
                  <c:v>55</c:v>
                </c:pt>
                <c:pt idx="19">
                  <c:v>60</c:v>
                </c:pt>
                <c:pt idx="20">
                  <c:v>65</c:v>
                </c:pt>
              </c:numCache>
            </c:numRef>
          </c:val>
        </c:ser>
        <c:dLbls/>
        <c:marker val="1"/>
        <c:axId val="77755520"/>
        <c:axId val="77757440"/>
      </c:lineChart>
      <c:catAx>
        <c:axId val="77755520"/>
        <c:scaling>
          <c:orientation val="minMax"/>
        </c:scaling>
        <c:delete val="1"/>
        <c:axPos val="b"/>
        <c:numFmt formatCode="0.0000" sourceLinked="1"/>
        <c:majorTickMark val="none"/>
        <c:tickLblPos val="nextTo"/>
        <c:crossAx val="77757440"/>
        <c:crosses val="autoZero"/>
        <c:auto val="1"/>
        <c:lblAlgn val="ctr"/>
        <c:lblOffset val="100"/>
      </c:catAx>
      <c:valAx>
        <c:axId val="77757440"/>
        <c:scaling>
          <c:orientation val="minMax"/>
        </c:scaling>
        <c:axPos val="l"/>
        <c:majorGridlines/>
        <c:numFmt formatCode="0%" sourceLinked="1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fr-FR"/>
          </a:p>
        </c:txPr>
        <c:crossAx val="77755520"/>
        <c:crosses val="autoZero"/>
        <c:crossBetween val="between"/>
      </c:valAx>
    </c:plotArea>
    <c:legend>
      <c:legendPos val="b"/>
      <c:txPr>
        <a:bodyPr/>
        <a:lstStyle/>
        <a:p>
          <a:pPr rtl="0">
            <a:defRPr lang="en-US"/>
          </a:pPr>
          <a:endParaRPr lang="fr-FR"/>
        </a:p>
      </c:txPr>
    </c:legend>
    <c:plotVisOnly val="1"/>
    <c:dispBlanksAs val="zero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22</xdr:row>
      <xdr:rowOff>190499</xdr:rowOff>
    </xdr:from>
    <xdr:to>
      <xdr:col>6</xdr:col>
      <xdr:colOff>447675</xdr:colOff>
      <xdr:row>42</xdr:row>
      <xdr:rowOff>123824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H6" sqref="H6"/>
    </sheetView>
  </sheetViews>
  <sheetFormatPr baseColWidth="10" defaultColWidth="9.140625" defaultRowHeight="18.75"/>
  <cols>
    <col min="1" max="1" width="36.28515625" bestFit="1" customWidth="1"/>
    <col min="2" max="2" width="15" bestFit="1" customWidth="1"/>
    <col min="3" max="3" width="16.42578125" customWidth="1"/>
    <col min="5" max="5" width="12" customWidth="1"/>
    <col min="6" max="6" width="11.42578125" style="22" customWidth="1"/>
  </cols>
  <sheetData>
    <row r="1" spans="1:6">
      <c r="A1" s="1" t="s">
        <v>5</v>
      </c>
      <c r="B1" s="1" t="s">
        <v>6</v>
      </c>
      <c r="C1" s="1"/>
      <c r="E1" s="2">
        <f>B3-40</f>
        <v>13.770906842733709</v>
      </c>
    </row>
    <row r="2" spans="1:6">
      <c r="A2" s="1" t="s">
        <v>4</v>
      </c>
      <c r="B2" s="2">
        <v>53.75</v>
      </c>
      <c r="C2" s="1"/>
      <c r="E2" s="2">
        <f>E1+5</f>
        <v>18.770906842733709</v>
      </c>
      <c r="F2" s="23">
        <f>E2-$B$3</f>
        <v>-35</v>
      </c>
    </row>
    <row r="3" spans="1:6">
      <c r="A3" s="1" t="s">
        <v>0</v>
      </c>
      <c r="B3" s="9">
        <f>B2*EXP(0.02*7/360)</f>
        <v>53.770906842733709</v>
      </c>
      <c r="C3" s="1"/>
      <c r="E3" s="2">
        <f>E2+5</f>
        <v>23.770906842733709</v>
      </c>
      <c r="F3" s="23">
        <f t="shared" ref="F3:F22" si="0">E3-$B$3</f>
        <v>-30</v>
      </c>
    </row>
    <row r="4" spans="1:6">
      <c r="A4" s="1" t="s">
        <v>3</v>
      </c>
      <c r="B4" s="1">
        <v>1000</v>
      </c>
      <c r="C4" s="1"/>
      <c r="E4" s="2">
        <f t="shared" ref="E4:E22" si="1">E3+5</f>
        <v>28.770906842733709</v>
      </c>
      <c r="F4" s="23">
        <f t="shared" si="0"/>
        <v>-25</v>
      </c>
    </row>
    <row r="5" spans="1:6">
      <c r="A5" s="1" t="s">
        <v>2</v>
      </c>
      <c r="B5" s="1" t="s">
        <v>1</v>
      </c>
      <c r="C5" s="1"/>
      <c r="E5" s="2">
        <f t="shared" si="1"/>
        <v>33.770906842733709</v>
      </c>
      <c r="F5" s="23">
        <f t="shared" si="0"/>
        <v>-20</v>
      </c>
    </row>
    <row r="6" spans="1:6">
      <c r="A6" s="1"/>
      <c r="B6" s="1"/>
      <c r="C6" s="1"/>
      <c r="E6" s="2">
        <f t="shared" si="1"/>
        <v>38.770906842733709</v>
      </c>
      <c r="F6" s="23">
        <f t="shared" si="0"/>
        <v>-15</v>
      </c>
    </row>
    <row r="7" spans="1:6">
      <c r="A7" s="1" t="s">
        <v>7</v>
      </c>
      <c r="B7" s="1"/>
      <c r="C7" s="1" t="s">
        <v>8</v>
      </c>
      <c r="E7" s="2">
        <f t="shared" si="1"/>
        <v>43.770906842733709</v>
      </c>
      <c r="F7" s="23">
        <f t="shared" si="0"/>
        <v>-10</v>
      </c>
    </row>
    <row r="8" spans="1:6">
      <c r="A8" s="1"/>
      <c r="B8" s="1"/>
      <c r="C8" s="1"/>
      <c r="E8" s="2">
        <f t="shared" si="1"/>
        <v>48.770906842733709</v>
      </c>
      <c r="F8" s="23">
        <f t="shared" si="0"/>
        <v>-5</v>
      </c>
    </row>
    <row r="9" spans="1:6">
      <c r="A9" s="1" t="s">
        <v>12</v>
      </c>
      <c r="B9" s="1"/>
      <c r="C9" s="2">
        <f>55.4</f>
        <v>55.4</v>
      </c>
      <c r="E9" s="2">
        <f t="shared" si="1"/>
        <v>53.770906842733709</v>
      </c>
      <c r="F9" s="23">
        <f t="shared" si="0"/>
        <v>0</v>
      </c>
    </row>
    <row r="10" spans="1:6">
      <c r="A10" s="1" t="s">
        <v>13</v>
      </c>
      <c r="B10" s="1"/>
      <c r="C10" s="2">
        <f>52.4</f>
        <v>52.4</v>
      </c>
      <c r="E10" s="2">
        <f t="shared" si="1"/>
        <v>58.770906842733709</v>
      </c>
      <c r="F10" s="23">
        <f t="shared" si="0"/>
        <v>5</v>
      </c>
    </row>
    <row r="11" spans="1:6">
      <c r="A11" s="1"/>
      <c r="B11" s="1"/>
      <c r="C11" s="2"/>
      <c r="E11" s="2">
        <f t="shared" si="1"/>
        <v>63.770906842733709</v>
      </c>
      <c r="F11" s="23">
        <f>E11-$B$3</f>
        <v>10</v>
      </c>
    </row>
    <row r="12" spans="1:6">
      <c r="A12" s="1" t="s">
        <v>9</v>
      </c>
      <c r="B12" s="1" t="s">
        <v>10</v>
      </c>
      <c r="C12" s="1">
        <f>B3*B4</f>
        <v>53770.906842733712</v>
      </c>
      <c r="E12" s="2">
        <f t="shared" si="1"/>
        <v>68.770906842733709</v>
      </c>
      <c r="F12" s="23">
        <f t="shared" si="0"/>
        <v>15</v>
      </c>
    </row>
    <row r="13" spans="1:6">
      <c r="A13" s="1"/>
      <c r="B13" s="4" t="s">
        <v>14</v>
      </c>
      <c r="C13" s="5">
        <f>1000*(C9 -B2)</f>
        <v>1649.9999999999986</v>
      </c>
      <c r="E13" s="2">
        <f t="shared" si="1"/>
        <v>73.770906842733709</v>
      </c>
      <c r="F13" s="23">
        <f t="shared" si="0"/>
        <v>20</v>
      </c>
    </row>
    <row r="14" spans="1:6">
      <c r="A14" s="10" t="s">
        <v>11</v>
      </c>
      <c r="B14" s="1" t="s">
        <v>10</v>
      </c>
      <c r="C14" s="5">
        <f>1000*(53.5-B3)</f>
        <v>-270.90684273370869</v>
      </c>
      <c r="E14" s="2">
        <f t="shared" si="1"/>
        <v>78.770906842733709</v>
      </c>
      <c r="F14" s="23">
        <f t="shared" si="0"/>
        <v>25</v>
      </c>
    </row>
    <row r="15" spans="1:6">
      <c r="B15" s="3" t="s">
        <v>15</v>
      </c>
      <c r="C15" s="6">
        <f>1000*(C10 -$B$3)</f>
        <v>-1370.9068427337102</v>
      </c>
      <c r="E15" s="2">
        <f t="shared" si="1"/>
        <v>83.770906842733709</v>
      </c>
      <c r="F15" s="23">
        <f t="shared" si="0"/>
        <v>30</v>
      </c>
    </row>
    <row r="16" spans="1:6">
      <c r="E16" s="2">
        <f t="shared" si="1"/>
        <v>88.770906842733709</v>
      </c>
      <c r="F16" s="23">
        <f>E16-$B$3</f>
        <v>35</v>
      </c>
    </row>
    <row r="17" spans="1:6">
      <c r="A17" s="7" t="s">
        <v>16</v>
      </c>
      <c r="B17" s="7" t="s">
        <v>18</v>
      </c>
      <c r="C17" s="8">
        <f>-C13</f>
        <v>-1649.9999999999986</v>
      </c>
      <c r="E17" s="2">
        <f t="shared" si="1"/>
        <v>93.770906842733709</v>
      </c>
      <c r="F17" s="23">
        <f t="shared" si="0"/>
        <v>40</v>
      </c>
    </row>
    <row r="18" spans="1:6">
      <c r="A18" s="7" t="s">
        <v>17</v>
      </c>
      <c r="B18" s="7" t="s">
        <v>18</v>
      </c>
      <c r="C18" s="8">
        <f>C13</f>
        <v>1649.9999999999986</v>
      </c>
      <c r="E18" s="2">
        <f t="shared" si="1"/>
        <v>98.770906842733709</v>
      </c>
      <c r="F18" s="23">
        <f t="shared" si="0"/>
        <v>45</v>
      </c>
    </row>
    <row r="19" spans="1:6">
      <c r="E19" s="2">
        <f t="shared" si="1"/>
        <v>103.77090684273371</v>
      </c>
      <c r="F19" s="23">
        <f t="shared" si="0"/>
        <v>50</v>
      </c>
    </row>
    <row r="20" spans="1:6">
      <c r="A20" s="7" t="s">
        <v>16</v>
      </c>
      <c r="B20" s="7" t="s">
        <v>19</v>
      </c>
      <c r="C20" s="8">
        <f>-C15</f>
        <v>1370.9068427337102</v>
      </c>
      <c r="E20" s="2">
        <f t="shared" si="1"/>
        <v>108.77090684273371</v>
      </c>
      <c r="F20" s="23">
        <f t="shared" si="0"/>
        <v>55</v>
      </c>
    </row>
    <row r="21" spans="1:6">
      <c r="A21" s="7" t="s">
        <v>17</v>
      </c>
      <c r="B21" s="7" t="s">
        <v>19</v>
      </c>
      <c r="C21" s="8">
        <f>C15</f>
        <v>-1370.9068427337102</v>
      </c>
      <c r="E21" s="2">
        <f t="shared" si="1"/>
        <v>113.77090684273371</v>
      </c>
      <c r="F21" s="23">
        <f t="shared" si="0"/>
        <v>60</v>
      </c>
    </row>
    <row r="22" spans="1:6">
      <c r="E22" s="2">
        <f t="shared" si="1"/>
        <v>118.77090684273371</v>
      </c>
      <c r="F22" s="23">
        <f t="shared" si="0"/>
        <v>65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workbookViewId="0">
      <selection activeCell="A11" sqref="A11"/>
    </sheetView>
  </sheetViews>
  <sheetFormatPr baseColWidth="10" defaultColWidth="9.140625" defaultRowHeight="15"/>
  <cols>
    <col min="1" max="1" width="69.42578125" bestFit="1" customWidth="1"/>
    <col min="2" max="2" width="15" bestFit="1" customWidth="1"/>
    <col min="3" max="3" width="16.42578125" customWidth="1"/>
  </cols>
  <sheetData>
    <row r="1" spans="1:3" ht="18.75">
      <c r="A1" s="1" t="s">
        <v>5</v>
      </c>
      <c r="B1" s="1" t="s">
        <v>6</v>
      </c>
      <c r="C1" s="1"/>
    </row>
    <row r="2" spans="1:3" ht="18.75">
      <c r="A2" s="1" t="s">
        <v>4</v>
      </c>
      <c r="B2" s="2">
        <v>53.75</v>
      </c>
      <c r="C2" s="1"/>
    </row>
    <row r="3" spans="1:3" ht="18.75">
      <c r="A3" s="1" t="s">
        <v>0</v>
      </c>
      <c r="B3" s="9">
        <f>B2*EXP(0.02*7/360)</f>
        <v>53.770906842733709</v>
      </c>
      <c r="C3" s="1"/>
    </row>
    <row r="4" spans="1:3" ht="18.75">
      <c r="A4" s="1" t="s">
        <v>3</v>
      </c>
      <c r="B4" s="1">
        <v>1000</v>
      </c>
      <c r="C4" s="1"/>
    </row>
    <row r="5" spans="1:3" ht="18.75">
      <c r="A5" s="1" t="s">
        <v>2</v>
      </c>
      <c r="B5" s="1" t="s">
        <v>1</v>
      </c>
      <c r="C5" s="1"/>
    </row>
    <row r="6" spans="1:3" ht="18.75">
      <c r="A6" s="1"/>
      <c r="B6" s="1"/>
      <c r="C6" s="1"/>
    </row>
    <row r="7" spans="1:3" ht="18.75">
      <c r="A7" s="1" t="s">
        <v>7</v>
      </c>
      <c r="B7" s="1"/>
      <c r="C7" s="1" t="s">
        <v>8</v>
      </c>
    </row>
    <row r="8" spans="1:3" ht="18.75">
      <c r="A8" s="10" t="s">
        <v>11</v>
      </c>
      <c r="B8" s="1" t="s">
        <v>10</v>
      </c>
      <c r="C8" s="5">
        <f>1000*(53.5-B3)</f>
        <v>-270.90684273370869</v>
      </c>
    </row>
    <row r="9" spans="1:3" ht="45.75" customHeight="1">
      <c r="A9" s="11" t="s">
        <v>20</v>
      </c>
      <c r="B9" s="12"/>
      <c r="C9" s="13">
        <f>C8</f>
        <v>-270.90684273370869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="89" zoomScaleNormal="89" workbookViewId="0">
      <selection activeCell="F6" sqref="F6"/>
    </sheetView>
  </sheetViews>
  <sheetFormatPr baseColWidth="10" defaultColWidth="9.140625" defaultRowHeight="15"/>
  <cols>
    <col min="1" max="1" width="22.140625" customWidth="1"/>
    <col min="2" max="2" width="12.140625" customWidth="1"/>
    <col min="3" max="3" width="6" customWidth="1"/>
    <col min="4" max="4" width="17" customWidth="1"/>
    <col min="5" max="5" width="10.140625" customWidth="1"/>
    <col min="6" max="6" width="14.28515625" style="17" customWidth="1"/>
    <col min="7" max="7" width="14.5703125" style="17" customWidth="1"/>
    <col min="8" max="8" width="13.7109375" style="17" customWidth="1"/>
    <col min="9" max="9" width="13.42578125" style="17" customWidth="1"/>
    <col min="10" max="10" width="14.28515625" customWidth="1"/>
    <col min="11" max="11" width="19.85546875" customWidth="1"/>
  </cols>
  <sheetData>
    <row r="1" spans="1:11" ht="39" customHeight="1">
      <c r="A1" s="42" t="s">
        <v>49</v>
      </c>
      <c r="B1" s="42"/>
      <c r="C1" s="42"/>
      <c r="D1" s="42"/>
      <c r="E1" s="42"/>
      <c r="F1" s="42"/>
      <c r="G1" s="42"/>
      <c r="H1" s="42"/>
      <c r="I1" s="43"/>
      <c r="J1" s="25" t="s">
        <v>50</v>
      </c>
    </row>
    <row r="2" spans="1:11" ht="20.25" customHeight="1">
      <c r="F2"/>
      <c r="G2"/>
      <c r="H2"/>
      <c r="I2"/>
      <c r="J2" s="18">
        <f>0.5%</f>
        <v>5.0000000000000001E-3</v>
      </c>
    </row>
    <row r="3" spans="1:11" ht="29.25" customHeight="1">
      <c r="C3" s="14"/>
      <c r="D3" s="14"/>
      <c r="E3" s="14"/>
      <c r="F3" s="18" t="s">
        <v>38</v>
      </c>
      <c r="G3" s="18" t="s">
        <v>38</v>
      </c>
      <c r="H3" s="18" t="s">
        <v>39</v>
      </c>
      <c r="I3" s="18" t="s">
        <v>39</v>
      </c>
      <c r="J3" s="18" t="s">
        <v>40</v>
      </c>
    </row>
    <row r="4" spans="1:11" ht="87" customHeight="1">
      <c r="A4" s="26" t="s">
        <v>43</v>
      </c>
      <c r="B4" s="27"/>
      <c r="C4" s="15" t="s">
        <v>22</v>
      </c>
      <c r="D4" s="24" t="s">
        <v>44</v>
      </c>
      <c r="E4" s="24" t="s">
        <v>23</v>
      </c>
      <c r="F4" s="25" t="s">
        <v>26</v>
      </c>
      <c r="G4" s="25" t="s">
        <v>25</v>
      </c>
      <c r="H4" s="25" t="s">
        <v>33</v>
      </c>
      <c r="I4" s="25" t="s">
        <v>34</v>
      </c>
      <c r="J4" s="28" t="s">
        <v>45</v>
      </c>
    </row>
    <row r="5" spans="1:11" ht="21.95" customHeight="1">
      <c r="A5" s="21" t="s">
        <v>31</v>
      </c>
      <c r="B5" s="20" t="s">
        <v>30</v>
      </c>
      <c r="C5" s="15">
        <v>0</v>
      </c>
      <c r="D5" s="16">
        <f>8*250</f>
        <v>2000</v>
      </c>
      <c r="E5" s="16">
        <v>1100</v>
      </c>
      <c r="F5" s="19"/>
      <c r="G5" s="19">
        <f>0.1*B7</f>
        <v>220000</v>
      </c>
      <c r="H5" s="19"/>
      <c r="I5" s="19">
        <f>G5</f>
        <v>220000</v>
      </c>
      <c r="J5" s="29"/>
    </row>
    <row r="6" spans="1:11" ht="21.95" customHeight="1">
      <c r="A6" s="21" t="s">
        <v>21</v>
      </c>
      <c r="B6" s="20">
        <v>1100</v>
      </c>
      <c r="C6" s="15">
        <v>1</v>
      </c>
      <c r="D6" s="16">
        <f t="shared" ref="D6:D15" si="0">8*250</f>
        <v>2000</v>
      </c>
      <c r="E6" s="16">
        <v>1027.99</v>
      </c>
      <c r="F6" s="31">
        <f>E6-E5</f>
        <v>-72.009999999999991</v>
      </c>
      <c r="G6" s="31">
        <f>G5*EXP($B$14/52)+D6*F6</f>
        <v>76403.483988708351</v>
      </c>
      <c r="H6" s="32">
        <f>-F6</f>
        <v>72.009999999999991</v>
      </c>
      <c r="I6" s="32">
        <f>I5*(EXP($B$14/52))+D6*H6</f>
        <v>364443.48398870829</v>
      </c>
      <c r="J6" s="29">
        <f>$J$2*MAX(F6,H6)*D6*2</f>
        <v>1440.1999999999998</v>
      </c>
      <c r="K6" s="30"/>
    </row>
    <row r="7" spans="1:11" ht="21.95" customHeight="1">
      <c r="A7" s="21" t="s">
        <v>46</v>
      </c>
      <c r="B7" s="20">
        <v>2200000</v>
      </c>
      <c r="C7" s="15">
        <v>2</v>
      </c>
      <c r="D7" s="16">
        <f t="shared" si="0"/>
        <v>2000</v>
      </c>
      <c r="E7" s="16">
        <v>1037.8800000000001</v>
      </c>
      <c r="F7" s="31">
        <f t="shared" ref="F7:F15" si="1">E7-E6</f>
        <v>9.8900000000001</v>
      </c>
      <c r="G7" s="31">
        <f>G6*EXP($B$14/52)+D7*F7</f>
        <v>96330.555134848328</v>
      </c>
      <c r="H7" s="32">
        <f t="shared" ref="H7:H15" si="2">-F7</f>
        <v>-9.8900000000001</v>
      </c>
      <c r="I7" s="32">
        <f>I6*(EXP($B$14/52))+D7*H7</f>
        <v>345365.01117170037</v>
      </c>
      <c r="J7" s="29">
        <f t="shared" ref="J7:J15" si="3">$J$2*MAX(F7,H7)*D7*2</f>
        <v>197.800000000002</v>
      </c>
    </row>
    <row r="8" spans="1:11" ht="21.95" customHeight="1">
      <c r="A8" s="21" t="s">
        <v>47</v>
      </c>
      <c r="B8" s="20" t="s">
        <v>32</v>
      </c>
      <c r="C8" s="15">
        <v>3</v>
      </c>
      <c r="D8" s="16">
        <f t="shared" si="0"/>
        <v>2000</v>
      </c>
      <c r="E8" s="16">
        <v>1073.23</v>
      </c>
      <c r="F8" s="31">
        <f t="shared" si="1"/>
        <v>35.349999999999909</v>
      </c>
      <c r="G8" s="31">
        <f>G7*EXP($B$14/52)+D8*F8</f>
        <v>167215.98444267994</v>
      </c>
      <c r="H8" s="32">
        <f t="shared" si="2"/>
        <v>-35.349999999999909</v>
      </c>
      <c r="I8" s="32">
        <f>I7*(EXP($B$14/52))+D8*H8</f>
        <v>275329.81368302461</v>
      </c>
      <c r="J8" s="29">
        <f t="shared" si="3"/>
        <v>706.99999999999818</v>
      </c>
    </row>
    <row r="9" spans="1:11" ht="21.95" customHeight="1">
      <c r="A9" s="21" t="s">
        <v>29</v>
      </c>
      <c r="B9" s="20">
        <v>250</v>
      </c>
      <c r="C9" s="15">
        <v>4</v>
      </c>
      <c r="D9" s="16">
        <f t="shared" si="0"/>
        <v>2000</v>
      </c>
      <c r="E9" s="16">
        <v>1048.78</v>
      </c>
      <c r="F9" s="31">
        <f t="shared" si="1"/>
        <v>-24.450000000000045</v>
      </c>
      <c r="G9" s="31">
        <f>G8*EXP($B$14/52)+D9*F9</f>
        <v>118637.86304298701</v>
      </c>
      <c r="H9" s="32">
        <f t="shared" si="2"/>
        <v>24.450000000000045</v>
      </c>
      <c r="I9" s="32">
        <f>I8*(EXP($B$14/52))+D9*H9</f>
        <v>324759.80353624653</v>
      </c>
      <c r="J9" s="29">
        <f t="shared" si="3"/>
        <v>489.00000000000091</v>
      </c>
    </row>
    <row r="10" spans="1:11" ht="21.95" customHeight="1">
      <c r="A10" s="21" t="s">
        <v>24</v>
      </c>
      <c r="B10" s="20">
        <f>B6*B9</f>
        <v>275000</v>
      </c>
      <c r="C10" s="15">
        <v>5</v>
      </c>
      <c r="D10" s="16">
        <f t="shared" si="0"/>
        <v>2000</v>
      </c>
      <c r="E10" s="16">
        <v>1090.32</v>
      </c>
      <c r="F10" s="31">
        <f t="shared" si="1"/>
        <v>41.539999999999964</v>
      </c>
      <c r="G10" s="31">
        <f>G9*EXP($B$14/52)+D10*F10</f>
        <v>201946.23229504729</v>
      </c>
      <c r="H10" s="32">
        <f t="shared" si="2"/>
        <v>-41.539999999999964</v>
      </c>
      <c r="I10" s="32">
        <f>I9*(EXP($B$14/52))+D10*H10</f>
        <v>242304.94252249051</v>
      </c>
      <c r="J10" s="29">
        <f t="shared" si="3"/>
        <v>830.79999999999927</v>
      </c>
    </row>
    <row r="11" spans="1:11" ht="21.95" customHeight="1">
      <c r="A11" s="21" t="s">
        <v>48</v>
      </c>
      <c r="B11" s="20">
        <f>B7/B10</f>
        <v>8</v>
      </c>
      <c r="C11" s="15">
        <v>6</v>
      </c>
      <c r="D11" s="16">
        <f t="shared" si="0"/>
        <v>2000</v>
      </c>
      <c r="E11" s="16">
        <v>1106.6400000000001</v>
      </c>
      <c r="F11" s="31">
        <f t="shared" si="1"/>
        <v>16.320000000000164</v>
      </c>
      <c r="G11" s="31">
        <f>G10*EXP($B$14/52)+D11*F11</f>
        <v>234974.96409485181</v>
      </c>
      <c r="H11" s="32">
        <f t="shared" si="2"/>
        <v>-16.320000000000164</v>
      </c>
      <c r="I11" s="32">
        <f>I10*(EXP($B$14/52))+D11*H11</f>
        <v>210131.36190223185</v>
      </c>
      <c r="J11" s="29">
        <f t="shared" si="3"/>
        <v>326.40000000000327</v>
      </c>
    </row>
    <row r="12" spans="1:11" ht="21.95" customHeight="1">
      <c r="A12" s="21" t="s">
        <v>28</v>
      </c>
      <c r="B12" s="20">
        <f>B11*B9</f>
        <v>2000</v>
      </c>
      <c r="C12" s="15">
        <v>7</v>
      </c>
      <c r="D12" s="16">
        <f t="shared" si="0"/>
        <v>2000</v>
      </c>
      <c r="E12" s="16">
        <v>1110.98</v>
      </c>
      <c r="F12" s="31">
        <f t="shared" si="1"/>
        <v>4.3399999999999181</v>
      </c>
      <c r="G12" s="31">
        <f>G11*EXP($B$14/52)+D12*F12</f>
        <v>244107.27379958564</v>
      </c>
      <c r="H12" s="32">
        <f t="shared" si="2"/>
        <v>-4.3399999999999181</v>
      </c>
      <c r="I12" s="32">
        <f>I11*(EXP($B$14/52))+D12*H12</f>
        <v>201855.8494808278</v>
      </c>
      <c r="J12" s="29">
        <f t="shared" si="3"/>
        <v>86.799999999998363</v>
      </c>
    </row>
    <row r="13" spans="1:11" ht="21.95" customHeight="1">
      <c r="A13" s="33" t="s">
        <v>36</v>
      </c>
      <c r="B13" s="34" t="s">
        <v>37</v>
      </c>
      <c r="C13" s="15">
        <v>8</v>
      </c>
      <c r="D13" s="16">
        <f t="shared" si="0"/>
        <v>2000</v>
      </c>
      <c r="E13" s="16">
        <v>1024.74</v>
      </c>
      <c r="F13" s="31">
        <f t="shared" si="1"/>
        <v>-86.240000000000009</v>
      </c>
      <c r="G13" s="31">
        <f>G12*EXP($B$14/52)+D13*F13</f>
        <v>72097.16253586454</v>
      </c>
      <c r="H13" s="32">
        <f t="shared" si="2"/>
        <v>86.240000000000009</v>
      </c>
      <c r="I13" s="32">
        <f>I12*(EXP($B$14/52))+D13*H13</f>
        <v>374724.40730029263</v>
      </c>
      <c r="J13" s="29">
        <f t="shared" si="3"/>
        <v>1724.8000000000002</v>
      </c>
    </row>
    <row r="14" spans="1:11" ht="21.95" customHeight="1">
      <c r="A14" s="21" t="s">
        <v>35</v>
      </c>
      <c r="B14" s="20">
        <f>10%</f>
        <v>0.1</v>
      </c>
      <c r="C14" s="15">
        <v>9</v>
      </c>
      <c r="D14" s="16">
        <f t="shared" si="0"/>
        <v>2000</v>
      </c>
      <c r="E14" s="16">
        <v>1007.3</v>
      </c>
      <c r="F14" s="31">
        <f t="shared" si="1"/>
        <v>-17.440000000000055</v>
      </c>
      <c r="G14" s="31">
        <f>G13*EXP($B$14/52)+D14*F14</f>
        <v>37355.944326615521</v>
      </c>
      <c r="H14" s="32">
        <f t="shared" si="2"/>
        <v>17.440000000000055</v>
      </c>
      <c r="I14" s="32">
        <f>I13*(EXP($B$14/52))+D14*H14</f>
        <v>410325.72451242863</v>
      </c>
      <c r="J14" s="29">
        <f t="shared" si="3"/>
        <v>348.80000000000109</v>
      </c>
    </row>
    <row r="15" spans="1:11" ht="21.95" customHeight="1">
      <c r="C15" s="15">
        <v>10</v>
      </c>
      <c r="D15" s="16">
        <f t="shared" si="0"/>
        <v>2000</v>
      </c>
      <c r="E15" s="16">
        <v>1011.65</v>
      </c>
      <c r="F15" s="31">
        <f t="shared" si="1"/>
        <v>4.3500000000000227</v>
      </c>
      <c r="G15" s="31">
        <f>G14*EXP($B$14/52)+D15*F15</f>
        <v>46127.851800731027</v>
      </c>
      <c r="H15" s="32">
        <f t="shared" si="2"/>
        <v>-4.3500000000000227</v>
      </c>
      <c r="I15" s="32">
        <f>I14*(EXP($B$14/52))+D15*H15</f>
        <v>402415.57166918385</v>
      </c>
      <c r="J15" s="29">
        <f t="shared" si="3"/>
        <v>87.000000000000455</v>
      </c>
    </row>
    <row r="16" spans="1:11" ht="21.95" customHeight="1">
      <c r="C16" s="14"/>
      <c r="F16" s="44">
        <f>SUM(F6:F15)*D15</f>
        <v>-176700.00000000006</v>
      </c>
      <c r="G16" s="45"/>
      <c r="H16" s="44">
        <f>SUM(H6:H15)*D15</f>
        <v>176700.00000000006</v>
      </c>
      <c r="I16" s="45"/>
      <c r="J16" s="44">
        <f>SUM(J6:J15)</f>
        <v>6238.600000000004</v>
      </c>
    </row>
    <row r="17" spans="1:10" s="54" customFormat="1" ht="21.95" customHeight="1">
      <c r="A17" s="35" t="s">
        <v>27</v>
      </c>
      <c r="B17" s="55"/>
      <c r="C17" s="55"/>
      <c r="D17" s="55"/>
      <c r="E17" s="55"/>
      <c r="F17" s="55"/>
      <c r="G17" s="52"/>
      <c r="H17" s="51"/>
      <c r="I17" s="52"/>
      <c r="J17" s="53"/>
    </row>
    <row r="18" spans="1:10" ht="21.95" customHeight="1">
      <c r="D18" s="46" t="s">
        <v>41</v>
      </c>
      <c r="E18" s="47"/>
      <c r="F18" s="48"/>
      <c r="G18" s="49">
        <f>G15-G5*EXP(B14*10/52)</f>
        <v>-178143.85993422646</v>
      </c>
      <c r="H18" s="50"/>
      <c r="I18" s="49">
        <f>I15-I5*EXP(B14*10/52)</f>
        <v>178143.85993422635</v>
      </c>
      <c r="J18" s="56">
        <f>J16</f>
        <v>6238.600000000004</v>
      </c>
    </row>
    <row r="19" spans="1:10" ht="21.95" customHeight="1">
      <c r="D19" s="57" t="s">
        <v>42</v>
      </c>
      <c r="E19" s="58"/>
      <c r="F19" s="36">
        <f>D15*(E15-E5)</f>
        <v>-176700.00000000006</v>
      </c>
      <c r="G19" s="37"/>
      <c r="H19" s="36">
        <f>-F19</f>
        <v>176700.00000000006</v>
      </c>
      <c r="I19" s="37"/>
      <c r="J19" s="36">
        <v>0</v>
      </c>
    </row>
    <row r="20" spans="1:10" ht="29.25" customHeight="1">
      <c r="A20" s="38" t="s">
        <v>51</v>
      </c>
      <c r="B20" s="38"/>
      <c r="C20" s="38"/>
      <c r="D20" s="38"/>
      <c r="E20" s="38"/>
      <c r="F20" s="39">
        <f>G18-F19</f>
        <v>-1443.859934226406</v>
      </c>
      <c r="G20" s="40"/>
      <c r="H20" s="39">
        <f>I18-H19</f>
        <v>1443.8599342262896</v>
      </c>
      <c r="I20" s="40"/>
      <c r="J20" s="41">
        <f>J18-J19</f>
        <v>6238.600000000004</v>
      </c>
    </row>
    <row r="21" spans="1:10" ht="15.75">
      <c r="C21" s="14"/>
      <c r="F21"/>
      <c r="G21"/>
      <c r="H21"/>
      <c r="I21"/>
    </row>
    <row r="22" spans="1:10">
      <c r="F22"/>
      <c r="G22"/>
      <c r="H22"/>
      <c r="I22"/>
    </row>
    <row r="23" spans="1:10">
      <c r="F23"/>
      <c r="G23"/>
      <c r="H23"/>
      <c r="I23"/>
    </row>
    <row r="24" spans="1:10">
      <c r="F24"/>
      <c r="G24"/>
      <c r="H24"/>
      <c r="I24"/>
    </row>
    <row r="25" spans="1:10">
      <c r="F25"/>
      <c r="G25"/>
      <c r="H25"/>
      <c r="I25"/>
    </row>
    <row r="26" spans="1:10">
      <c r="F26"/>
      <c r="G26"/>
      <c r="H26"/>
      <c r="I26"/>
    </row>
    <row r="27" spans="1:10">
      <c r="F27"/>
      <c r="G27"/>
      <c r="H27"/>
      <c r="I27"/>
    </row>
    <row r="28" spans="1:10">
      <c r="F28"/>
      <c r="G28"/>
      <c r="H28"/>
      <c r="I28"/>
    </row>
    <row r="29" spans="1:10">
      <c r="F29"/>
      <c r="G29"/>
      <c r="H29"/>
      <c r="I29"/>
    </row>
    <row r="30" spans="1:10">
      <c r="F30"/>
      <c r="G30"/>
      <c r="H30"/>
      <c r="I30"/>
    </row>
    <row r="31" spans="1:10">
      <c r="F31"/>
      <c r="G31"/>
      <c r="H31"/>
      <c r="I31"/>
    </row>
    <row r="32" spans="1:10">
      <c r="F32"/>
      <c r="G32"/>
      <c r="H32"/>
      <c r="I32"/>
    </row>
    <row r="33" spans="6:9">
      <c r="F33"/>
      <c r="G33"/>
      <c r="H33"/>
      <c r="I33"/>
    </row>
    <row r="34" spans="6:9">
      <c r="F34"/>
      <c r="G34"/>
      <c r="H34"/>
      <c r="I34"/>
    </row>
    <row r="35" spans="6:9">
      <c r="F35"/>
      <c r="G35"/>
      <c r="H35"/>
      <c r="I35"/>
    </row>
    <row r="36" spans="6:9">
      <c r="F36"/>
      <c r="G36"/>
      <c r="H36"/>
      <c r="I36"/>
    </row>
    <row r="37" spans="6:9">
      <c r="F37"/>
      <c r="G37"/>
      <c r="H37"/>
      <c r="I37"/>
    </row>
    <row r="38" spans="6:9">
      <c r="F38"/>
      <c r="G38"/>
      <c r="H38"/>
      <c r="I38"/>
    </row>
    <row r="39" spans="6:9">
      <c r="F39"/>
      <c r="G39"/>
      <c r="H39"/>
      <c r="I39"/>
    </row>
    <row r="40" spans="6:9">
      <c r="F40"/>
      <c r="G40"/>
      <c r="H40"/>
      <c r="I40"/>
    </row>
    <row r="41" spans="6:9">
      <c r="F41"/>
      <c r="G41"/>
      <c r="H41"/>
      <c r="I41"/>
    </row>
    <row r="42" spans="6:9">
      <c r="F42"/>
      <c r="G42"/>
      <c r="H42"/>
      <c r="I42"/>
    </row>
    <row r="43" spans="6:9">
      <c r="F43"/>
      <c r="G43"/>
      <c r="H43"/>
      <c r="I43"/>
    </row>
    <row r="44" spans="6:9">
      <c r="F44"/>
      <c r="G44"/>
      <c r="H44"/>
      <c r="I44"/>
    </row>
    <row r="45" spans="6:9">
      <c r="F45"/>
      <c r="G45"/>
      <c r="H45"/>
      <c r="I45"/>
    </row>
    <row r="46" spans="6:9">
      <c r="F46"/>
      <c r="G46"/>
      <c r="H46"/>
      <c r="I46"/>
    </row>
    <row r="47" spans="6:9">
      <c r="F47"/>
      <c r="G47"/>
      <c r="H47"/>
      <c r="I47"/>
    </row>
    <row r="48" spans="6:9">
      <c r="F48"/>
      <c r="G48"/>
      <c r="H48"/>
      <c r="I48"/>
    </row>
    <row r="49" spans="6:9">
      <c r="F49"/>
      <c r="G49"/>
      <c r="H49"/>
      <c r="I49"/>
    </row>
    <row r="50" spans="6:9">
      <c r="F50"/>
      <c r="G50"/>
      <c r="H50"/>
      <c r="I50"/>
    </row>
    <row r="51" spans="6:9">
      <c r="F51"/>
      <c r="G51"/>
      <c r="H51"/>
      <c r="I51"/>
    </row>
    <row r="52" spans="6:9">
      <c r="F52"/>
      <c r="G52"/>
      <c r="H52"/>
      <c r="I52"/>
    </row>
    <row r="53" spans="6:9">
      <c r="F53"/>
      <c r="G53"/>
      <c r="H53"/>
      <c r="I53"/>
    </row>
    <row r="54" spans="6:9">
      <c r="F54"/>
      <c r="G54"/>
      <c r="H54"/>
      <c r="I54"/>
    </row>
    <row r="55" spans="6:9">
      <c r="F55"/>
      <c r="G55"/>
      <c r="H55"/>
      <c r="I55"/>
    </row>
    <row r="56" spans="6:9">
      <c r="F56"/>
      <c r="G56"/>
      <c r="H56"/>
      <c r="I56"/>
    </row>
    <row r="57" spans="6:9">
      <c r="F57"/>
      <c r="G57"/>
      <c r="H57"/>
      <c r="I57"/>
    </row>
    <row r="58" spans="6:9">
      <c r="F58"/>
      <c r="G58"/>
      <c r="H58"/>
      <c r="I58"/>
    </row>
    <row r="59" spans="6:9">
      <c r="F59"/>
      <c r="G59"/>
      <c r="H59"/>
      <c r="I59"/>
    </row>
    <row r="60" spans="6:9">
      <c r="F60"/>
      <c r="G60"/>
      <c r="H60"/>
      <c r="I60"/>
    </row>
    <row r="61" spans="6:9">
      <c r="F61"/>
      <c r="G61"/>
      <c r="H61"/>
      <c r="I61"/>
    </row>
    <row r="62" spans="6:9">
      <c r="F62"/>
      <c r="G62"/>
      <c r="H62"/>
      <c r="I62"/>
    </row>
    <row r="63" spans="6:9">
      <c r="F63"/>
      <c r="G63"/>
      <c r="H63"/>
      <c r="I63"/>
    </row>
    <row r="64" spans="6:9">
      <c r="F64"/>
      <c r="G64"/>
      <c r="H64"/>
      <c r="I64"/>
    </row>
    <row r="65" spans="6:9">
      <c r="F65"/>
      <c r="G65"/>
      <c r="H65"/>
      <c r="I65"/>
    </row>
    <row r="66" spans="6:9">
      <c r="F66"/>
      <c r="G66"/>
      <c r="H66"/>
      <c r="I66"/>
    </row>
    <row r="67" spans="6:9">
      <c r="F67"/>
      <c r="G67"/>
      <c r="H67"/>
      <c r="I67"/>
    </row>
    <row r="68" spans="6:9">
      <c r="F68"/>
      <c r="G68"/>
      <c r="H68"/>
      <c r="I68"/>
    </row>
    <row r="69" spans="6:9">
      <c r="F69"/>
      <c r="G69"/>
      <c r="H69"/>
      <c r="I69"/>
    </row>
    <row r="70" spans="6:9">
      <c r="F70"/>
      <c r="G70"/>
      <c r="H70"/>
      <c r="I70"/>
    </row>
    <row r="71" spans="6:9">
      <c r="F71"/>
      <c r="G71"/>
      <c r="H71"/>
      <c r="I71"/>
    </row>
    <row r="72" spans="6:9">
      <c r="F72"/>
      <c r="G72"/>
      <c r="H72"/>
      <c r="I72"/>
    </row>
    <row r="73" spans="6:9">
      <c r="F73"/>
      <c r="G73"/>
      <c r="H73"/>
      <c r="I73"/>
    </row>
    <row r="74" spans="6:9">
      <c r="F74"/>
      <c r="G74"/>
      <c r="H74"/>
      <c r="I74"/>
    </row>
    <row r="75" spans="6:9">
      <c r="F75"/>
      <c r="G75"/>
      <c r="H75"/>
      <c r="I75"/>
    </row>
    <row r="76" spans="6:9">
      <c r="F76"/>
      <c r="G76"/>
      <c r="H76"/>
      <c r="I76"/>
    </row>
    <row r="77" spans="6:9">
      <c r="F77"/>
      <c r="G77"/>
      <c r="H77"/>
      <c r="I77"/>
    </row>
    <row r="78" spans="6:9">
      <c r="F78"/>
      <c r="G78"/>
      <c r="H78"/>
      <c r="I78"/>
    </row>
    <row r="79" spans="6:9">
      <c r="F79"/>
      <c r="G79"/>
      <c r="H79"/>
      <c r="I79"/>
    </row>
    <row r="80" spans="6:9">
      <c r="F80"/>
      <c r="G80"/>
      <c r="H80"/>
      <c r="I80"/>
    </row>
    <row r="81" spans="6:9">
      <c r="F81"/>
      <c r="G81"/>
      <c r="H81"/>
      <c r="I81"/>
    </row>
    <row r="82" spans="6:9">
      <c r="F82"/>
      <c r="G82"/>
      <c r="H82"/>
      <c r="I82"/>
    </row>
    <row r="83" spans="6:9">
      <c r="F83"/>
      <c r="G83"/>
      <c r="H83"/>
      <c r="I83"/>
    </row>
    <row r="84" spans="6:9">
      <c r="F84"/>
      <c r="G84"/>
      <c r="H84"/>
      <c r="I84"/>
    </row>
    <row r="85" spans="6:9">
      <c r="F85"/>
      <c r="G85"/>
      <c r="H85"/>
      <c r="I85"/>
    </row>
    <row r="86" spans="6:9">
      <c r="F86"/>
      <c r="G86"/>
      <c r="H86"/>
      <c r="I86"/>
    </row>
    <row r="87" spans="6:9">
      <c r="F87"/>
      <c r="G87"/>
      <c r="H87"/>
      <c r="I87"/>
    </row>
    <row r="88" spans="6:9">
      <c r="F88"/>
      <c r="G88"/>
      <c r="H88"/>
      <c r="I88"/>
    </row>
    <row r="89" spans="6:9">
      <c r="F89"/>
      <c r="G89"/>
      <c r="H89"/>
      <c r="I89"/>
    </row>
    <row r="90" spans="6:9">
      <c r="F90"/>
      <c r="G90"/>
      <c r="H90"/>
      <c r="I90"/>
    </row>
    <row r="91" spans="6:9">
      <c r="F91"/>
      <c r="G91"/>
      <c r="H91"/>
      <c r="I91"/>
    </row>
    <row r="92" spans="6:9">
      <c r="F92"/>
      <c r="G92"/>
      <c r="H92"/>
      <c r="I92"/>
    </row>
    <row r="93" spans="6:9">
      <c r="F93"/>
      <c r="G93"/>
      <c r="H93"/>
      <c r="I93"/>
    </row>
    <row r="94" spans="6:9">
      <c r="F94"/>
      <c r="G94"/>
      <c r="H94"/>
      <c r="I94"/>
    </row>
  </sheetData>
  <mergeCells count="8">
    <mergeCell ref="H20:I20"/>
    <mergeCell ref="A1:I1"/>
    <mergeCell ref="A20:E20"/>
    <mergeCell ref="A17:F17"/>
    <mergeCell ref="A4:B4"/>
    <mergeCell ref="D18:E18"/>
    <mergeCell ref="D19:E19"/>
    <mergeCell ref="F20:G20"/>
  </mergeCells>
  <pageMargins left="0.39" right="0.38" top="0.27" bottom="0.33" header="0.18" footer="0.21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forward_contract</vt:lpstr>
      <vt:lpstr>forward_contract_final</vt:lpstr>
      <vt:lpstr>futures_contract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hp</cp:lastModifiedBy>
  <cp:lastPrinted>2016-03-29T21:20:47Z</cp:lastPrinted>
  <dcterms:created xsi:type="dcterms:W3CDTF">2016-03-21T09:54:49Z</dcterms:created>
  <dcterms:modified xsi:type="dcterms:W3CDTF">2016-03-29T21:21:17Z</dcterms:modified>
</cp:coreProperties>
</file>