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4370" windowHeight="7950" activeTab="0"/>
  </bookViews>
  <sheets>
    <sheet name="AGESEX" sheetId="1" r:id="rId1"/>
    <sheet name="GRAPH3" sheetId="2" r:id="rId2"/>
    <sheet name="GRAPH2" sheetId="3" r:id="rId3"/>
    <sheet name="GRAPH1" sheetId="4" r:id="rId4"/>
  </sheets>
  <definedNames>
    <definedName name="\d">'AGESEX'!#REF!</definedName>
    <definedName name="\g">'AGESEX'!#REF!</definedName>
    <definedName name="\h">'AGESEX'!#REF!</definedName>
    <definedName name="\m">'AGESEX'!#REF!</definedName>
    <definedName name="\s">'AGESEX'!#REF!</definedName>
    <definedName name="__123Graph_A" hidden="1">'AGESEX'!$H$12:$H$28</definedName>
    <definedName name="__123Graph_AGRAPH1" hidden="1">'AGESEX'!$B$12:$B$28</definedName>
    <definedName name="__123Graph_AGRAPH2" hidden="1">'AGESEX'!$D$13:$D$26</definedName>
    <definedName name="__123Graph_AGRAPH3" hidden="1">'AGESEX'!$H$12:$H$28</definedName>
    <definedName name="__123Graph_BGRAPH1" hidden="1">'AGESEX'!$C$12:$C$28</definedName>
    <definedName name="__123Graph_BGRAPH2" hidden="1">'AGESEX'!$E$13:$E$26</definedName>
    <definedName name="__123Graph_X" hidden="1">'AGESEX'!$A$12:$A$28</definedName>
    <definedName name="__123Graph_XGRAPH1" hidden="1">'AGESEX'!$A$12:$A$28</definedName>
    <definedName name="__123Graph_XGRAPH2" hidden="1">'AGESEX'!$A$13:$A$26</definedName>
    <definedName name="__123Graph_XGRAPH3" hidden="1">'AGESEX'!$A$12:$A$28</definedName>
    <definedName name="_Regression_Int" localSheetId="0" hidden="1">1</definedName>
    <definedName name="CHKPAS">'AGESEX'!#REF!</definedName>
    <definedName name="CHKSAVE">'AGESEX'!#REF!</definedName>
    <definedName name="DOC">'AGESEX'!$A$62:$G$141</definedName>
    <definedName name="ERR_LOC">'AGESEX'!#REF!</definedName>
    <definedName name="ERR_MSG">'AGESEX'!#REF!</definedName>
    <definedName name="FILENAME">'AGESEX'!#REF!</definedName>
    <definedName name="FLOPDIR">'AGESEX'!#REF!</definedName>
    <definedName name="FLOPPY">'AGESEX'!#REF!</definedName>
    <definedName name="GETFILE">'AGESEX'!#REF!</definedName>
    <definedName name="GRDIR">'AGESEX'!#REF!</definedName>
    <definedName name="HELP">'AGESEX'!$A$122:$F$141</definedName>
    <definedName name="MESSAGE">'AGESEX'!#REF!</definedName>
    <definedName name="MSG_CELL">'AGESEX'!#REF!</definedName>
    <definedName name="NOPAS">'AGESEX'!#REF!</definedName>
    <definedName name="NOPAS3">'AGESEX'!#REF!</definedName>
    <definedName name="OLD_MSG">'AGESEX'!#REF!</definedName>
    <definedName name="PAS_MSG1">'AGESEX'!#REF!</definedName>
    <definedName name="PAS_MSG2">'AGESEX'!#REF!</definedName>
    <definedName name="PAS_MSG3">'AGESEX'!#REF!</definedName>
    <definedName name="PAUSE">'AGESEX'!#REF!</definedName>
    <definedName name="PRINT">'AGESEX'!$A$1:$I$49</definedName>
    <definedName name="_xlnm.Print_Area" localSheetId="0">'AGESEX'!$A$1:$I$48</definedName>
    <definedName name="Print_Area_MI" localSheetId="0">'AGESEX'!$A$1:$I$49</definedName>
    <definedName name="RESDIR">'AGESEX'!#REF!</definedName>
    <definedName name="RESTYPE">'AGESEX'!#REF!</definedName>
    <definedName name="RSVMENU">'AGESEX'!#REF!</definedName>
    <definedName name="SAVE">'AGESEX'!#REF!</definedName>
    <definedName name="SAVE_MSG">'AGESEX'!#REF!</definedName>
    <definedName name="SAVED">'AGESEX'!#REF!</definedName>
    <definedName name="SAVENGO">'AGESEX'!#REF!</definedName>
    <definedName name="TEMP">'AGESEX'!#REF!</definedName>
  </definedNames>
  <calcPr fullCalcOnLoad="1" iterate="1" iterateCount="20" iterateDelta="0.001"/>
</workbook>
</file>

<file path=xl/sharedStrings.xml><?xml version="1.0" encoding="utf-8"?>
<sst xmlns="http://schemas.openxmlformats.org/spreadsheetml/2006/main" count="186" uniqueCount="98">
  <si>
    <t>Table</t>
  </si>
  <si>
    <t>COUNTRY: YEAR</t>
  </si>
  <si>
    <t>Population, by Age and Sex, and United Nations Age-Sex Accuracy Index</t>
  </si>
  <si>
    <t>-</t>
  </si>
  <si>
    <t xml:space="preserve">     Age ratio</t>
  </si>
  <si>
    <t xml:space="preserve">        Population</t>
  </si>
  <si>
    <t xml:space="preserve">      Age ratio</t>
  </si>
  <si>
    <t xml:space="preserve">     deviation</t>
  </si>
  <si>
    <t>Sex ratio</t>
  </si>
  <si>
    <t xml:space="preserve">  ----------------------------</t>
  </si>
  <si>
    <t xml:space="preserve">   --------------</t>
  </si>
  <si>
    <t>(males per</t>
  </si>
  <si>
    <t>Age</t>
  </si>
  <si>
    <t>Male</t>
  </si>
  <si>
    <t>Female</t>
  </si>
  <si>
    <t>100 females)</t>
  </si>
  <si>
    <t>difference</t>
  </si>
  <si>
    <t xml:space="preserve">  All ages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</si>
  <si>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</si>
  <si>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</si>
  <si>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</si>
  <si>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</si>
  <si>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</si>
  <si>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</si>
  <si>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</si>
  <si>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</si>
  <si>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</si>
  <si>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</si>
  <si>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</si>
  <si>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</si>
  <si>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Age ratio score for males</t>
  </si>
  <si>
    <t>Age ratio score for females</t>
  </si>
  <si>
    <t>Sex ratio score</t>
  </si>
  <si>
    <t>Age-sex accuracy index</t>
  </si>
  <si>
    <t>Sample size</t>
  </si>
  <si>
    <t>Corrected for population (sample) size</t>
  </si>
  <si>
    <t>Source:</t>
  </si>
  <si>
    <t>[FILENAME]  [DISK NAME]  [INITIALS]  [DATE]</t>
  </si>
  <si>
    <t>U.S. BUREAU OF THE CENSUS      INTERNATIONAL PROGRAMS CENTER</t>
  </si>
  <si>
    <t xml:space="preserve">            POPULATION ANALYSIS SPREADSHEETS (PAS)</t>
  </si>
  <si>
    <t>DOCUMENTATION:   AGESEX</t>
  </si>
  <si>
    <t>**** D E S C R I P T I O N ****</t>
  </si>
  <si>
    <t>This spreadsheet computes age ratios, sex ratios by age, and the United</t>
  </si>
  <si>
    <t>Nations age-ratio score, sex-ratio score and age-sex accuracy indexes.</t>
  </si>
  <si>
    <t>PRESS PgDn FOR FURTHER INSTRUCTIONS</t>
  </si>
  <si>
    <t>**** I N P U T ****</t>
  </si>
  <si>
    <t>CELL</t>
  </si>
  <si>
    <t>ITEM</t>
  </si>
  <si>
    <t>----------</t>
  </si>
  <si>
    <t>A1</t>
  </si>
  <si>
    <t>Table number.  Type both "Table" and the number.</t>
  </si>
  <si>
    <t>A2</t>
  </si>
  <si>
    <t xml:space="preserve">Country name and year (e.g. Burundi:  1975).  </t>
  </si>
  <si>
    <t xml:space="preserve"> Type over "COUNTRY:  YEAR".</t>
  </si>
  <si>
    <t>B12-B28</t>
  </si>
  <si>
    <t>Male population by 5-year age groups.</t>
  </si>
  <si>
    <t>C12-C28</t>
  </si>
  <si>
    <t>Female population by 5-year age groups.</t>
  </si>
  <si>
    <t>E35</t>
  </si>
  <si>
    <t>If the data are based on a sample, enter the sample size.</t>
  </si>
  <si>
    <t>NOTE:  The corrected index may be negative if the sample</t>
  </si>
  <si>
    <t>size is very small.</t>
  </si>
  <si>
    <t>A39-G47</t>
  </si>
  <si>
    <t>Sources of the input data.</t>
  </si>
  <si>
    <t>A48</t>
  </si>
  <si>
    <t xml:space="preserve">Filename, disk name, date, and initials.  Type all of these </t>
  </si>
  <si>
    <t xml:space="preserve"> into the same cell.</t>
  </si>
  <si>
    <t>**** R E S U L T S ****</t>
  </si>
  <si>
    <t xml:space="preserve"> </t>
  </si>
  <si>
    <t>A1-I49</t>
  </si>
  <si>
    <t>Population, by age and sex, and United Nations Age-Sex</t>
  </si>
  <si>
    <t xml:space="preserve"> Accuracy Index.</t>
  </si>
  <si>
    <t>**** G R A P H S ****</t>
  </si>
  <si>
    <t>NAME</t>
  </si>
  <si>
    <t>-----------</t>
  </si>
  <si>
    <t>GRAPH1</t>
  </si>
  <si>
    <t>Population by age and sex.</t>
  </si>
  <si>
    <t>GRAPH2</t>
  </si>
  <si>
    <t>Age-ratios by age and sex.</t>
  </si>
  <si>
    <t>GRAPH3</t>
  </si>
  <si>
    <t>Sex ratios by age.</t>
  </si>
  <si>
    <t>PRESS PgDn for the HELP screen</t>
  </si>
  <si>
    <t>INTERMEDIATE CALCULATIONS</t>
  </si>
  <si>
    <t>Number of 5-year ages+</t>
  </si>
  <si>
    <t>Absolute Values of Age Ratio Deviations and Sex Ratio Differences</t>
  </si>
  <si>
    <t xml:space="preserve">  Absolute deviations</t>
  </si>
  <si>
    <t xml:space="preserve">      of age ratios</t>
  </si>
  <si>
    <t>Absolute</t>
  </si>
  <si>
    <t xml:space="preserve">for </t>
  </si>
  <si>
    <t xml:space="preserve">       from 100</t>
  </si>
  <si>
    <t>sex</t>
  </si>
  <si>
    <t>min</t>
  </si>
  <si>
    <t xml:space="preserve">min </t>
  </si>
  <si>
    <t>ratio</t>
  </si>
  <si>
    <t>age</t>
  </si>
  <si>
    <t>for graphs:</t>
  </si>
  <si>
    <t>min sex ratio</t>
  </si>
  <si>
    <t>min age ratio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</si>
</sst>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</numFmts>
  <fonts count="8">
    <font>
      <sz val="10"/>
      <name val="Courier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10"/>
      <name val="Courier New"/>
      <family val="0"/>
    </font>
    <font>
      <sz val="8"/>
      <color indexed="12"/>
      <name val="Courier New"/>
      <family val="3"/>
    </font>
    <font>
      <sz val="8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4" fontId="6" fillId="0" borderId="0" xfId="0" applyFont="1" applyAlignment="1" applyProtection="1">
      <alignment horizontal="fill"/>
      <protection/>
    </xf>
    <xf numFmtId="164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 quotePrefix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>
      <alignment horizontal="right"/>
    </xf>
    <xf numFmtId="164" fontId="6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AGESEX!$A$2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6"/>
          <c:y val="0.2075"/>
          <c:w val="0.942"/>
          <c:h val="0.70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AGESEX!$A$12:$A$28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75+</c:v>
                </c:pt>
              </c:strCache>
            </c:strRef>
          </c:cat>
          <c:val>
            <c:numRef>
              <c:f>AGESEX!$H$12:$H$28</c:f>
              <c:numCache>
                <c:ptCount val="17"/>
                <c:pt idx="0">
                  <c:v>102.9269366197183</c:v>
                </c:pt>
                <c:pt idx="1">
                  <c:v>102.30084116773874</c:v>
                </c:pt>
                <c:pt idx="2">
                  <c:v>102.40963855421687</c:v>
                </c:pt>
                <c:pt idx="3">
                  <c:v>100</c:v>
                </c:pt>
                <c:pt idx="4">
                  <c:v>98.12632215170747</c:v>
                </c:pt>
                <c:pt idx="5">
                  <c:v>100.32223415682063</c:v>
                </c:pt>
                <c:pt idx="6">
                  <c:v>102.37994050148747</c:v>
                </c:pt>
                <c:pt idx="7">
                  <c:v>104.73484848484848</c:v>
                </c:pt>
                <c:pt idx="8">
                  <c:v>105.61797752808988</c:v>
                </c:pt>
                <c:pt idx="9">
                  <c:v>106.81334279630944</c:v>
                </c:pt>
                <c:pt idx="10">
                  <c:v>112.00644641418211</c:v>
                </c:pt>
                <c:pt idx="11">
                  <c:v>110.93573844419392</c:v>
                </c:pt>
                <c:pt idx="12">
                  <c:v>106.88665710186514</c:v>
                </c:pt>
                <c:pt idx="13">
                  <c:v>102.28571428571429</c:v>
                </c:pt>
                <c:pt idx="14">
                  <c:v>99.42528735632185</c:v>
                </c:pt>
                <c:pt idx="15">
                  <c:v>91.53005464480874</c:v>
                </c:pt>
              </c:numCache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7869859"/>
        <c:crosses val="autoZero"/>
        <c:auto val="0"/>
        <c:lblOffset val="100"/>
        <c:tickLblSkip val="2"/>
        <c:noMultiLvlLbl val="0"/>
      </c:catAx>
      <c:valAx>
        <c:axId val="27869859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AGESEX!$A$2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6"/>
          <c:y val="0.211"/>
          <c:w val="0.942"/>
          <c:h val="0.643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AGESEX!$A$13:$A$26</c:f>
              <c:strCache>
                <c:ptCount val="14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</c:strCache>
            </c:strRef>
          </c:cat>
          <c:val>
            <c:numRef>
              <c:f>AGESEX!$D$13:$D$26</c:f>
              <c:numCache>
                <c:ptCount val="14"/>
                <c:pt idx="0">
                  <c:v>97.27123029875324</c:v>
                </c:pt>
                <c:pt idx="1">
                  <c:v>98.30377794911334</c:v>
                </c:pt>
                <c:pt idx="2">
                  <c:v>103.13914027149322</c:v>
                </c:pt>
                <c:pt idx="3">
                  <c:v>100.69778260195379</c:v>
                </c:pt>
                <c:pt idx="4">
                  <c:v>99.08062234794907</c:v>
                </c:pt>
                <c:pt idx="5">
                  <c:v>96.09094535301156</c:v>
                </c:pt>
                <c:pt idx="6">
                  <c:v>105.45887961859357</c:v>
                </c:pt>
                <c:pt idx="7">
                  <c:v>96.09900457358084</c:v>
                </c:pt>
                <c:pt idx="8">
                  <c:v>94.77329974811083</c:v>
                </c:pt>
                <c:pt idx="9">
                  <c:v>111.69144234632383</c:v>
                </c:pt>
                <c:pt idx="10">
                  <c:v>92.17798594847775</c:v>
                </c:pt>
                <c:pt idx="11">
                  <c:v>97.96186719263642</c:v>
                </c:pt>
                <c:pt idx="12">
                  <c:v>98.44179651695693</c:v>
                </c:pt>
                <c:pt idx="1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AGESEX!$A$13:$A$26</c:f>
              <c:strCache>
                <c:ptCount val="14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</c:strCache>
            </c:strRef>
          </c:cat>
          <c:val>
            <c:numRef>
              <c:f>AGESEX!$E$13:$E$26</c:f>
              <c:numCache>
                <c:ptCount val="14"/>
                <c:pt idx="0">
                  <c:v>97.64464307283488</c:v>
                </c:pt>
                <c:pt idx="1">
                  <c:v>97.15177526336325</c:v>
                </c:pt>
                <c:pt idx="2">
                  <c:v>103.54911981828506</c:v>
                </c:pt>
                <c:pt idx="3">
                  <c:v>102.7639751552795</c:v>
                </c:pt>
                <c:pt idx="4">
                  <c:v>98.65771812080537</c:v>
                </c:pt>
                <c:pt idx="5">
                  <c:v>95.94291539245668</c:v>
                </c:pt>
                <c:pt idx="6">
                  <c:v>104.45103857566765</c:v>
                </c:pt>
                <c:pt idx="7">
                  <c:v>96.05225788128372</c:v>
                </c:pt>
                <c:pt idx="8">
                  <c:v>96.11186903137789</c:v>
                </c:pt>
                <c:pt idx="9">
                  <c:v>108.10104529616724</c:v>
                </c:pt>
                <c:pt idx="10">
                  <c:v>91.53766769865841</c:v>
                </c:pt>
                <c:pt idx="11">
                  <c:v>98.72521246458923</c:v>
                </c:pt>
                <c:pt idx="12">
                  <c:v>100.47846889952153</c:v>
                </c:pt>
                <c:pt idx="13">
                  <c:v>#N/A</c:v>
                </c:pt>
              </c:numCache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2866077"/>
        <c:crosses val="autoZero"/>
        <c:auto val="0"/>
        <c:lblOffset val="100"/>
        <c:tickLblSkip val="2"/>
        <c:noMultiLvlLbl val="0"/>
      </c:catAx>
      <c:valAx>
        <c:axId val="42866077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AGESEX!$A$2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6"/>
          <c:y val="0.211"/>
          <c:w val="0.942"/>
          <c:h val="0.643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AGESEX!$A$12:$A$28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75+</c:v>
                </c:pt>
              </c:strCache>
            </c:strRef>
          </c:cat>
          <c:val>
            <c:numRef>
              <c:f>AGESEX!$B$12:$B$28</c:f>
              <c:numCache>
                <c:ptCount val="17"/>
                <c:pt idx="0">
                  <c:v>4677000</c:v>
                </c:pt>
                <c:pt idx="1">
                  <c:v>4135000</c:v>
                </c:pt>
                <c:pt idx="2">
                  <c:v>3825000</c:v>
                </c:pt>
                <c:pt idx="3">
                  <c:v>3647000</c:v>
                </c:pt>
                <c:pt idx="4">
                  <c:v>3247000</c:v>
                </c:pt>
                <c:pt idx="5">
                  <c:v>2802000</c:v>
                </c:pt>
                <c:pt idx="6">
                  <c:v>2409000</c:v>
                </c:pt>
                <c:pt idx="7">
                  <c:v>2212000</c:v>
                </c:pt>
                <c:pt idx="8">
                  <c:v>1786000</c:v>
                </c:pt>
                <c:pt idx="9">
                  <c:v>1505000</c:v>
                </c:pt>
                <c:pt idx="10">
                  <c:v>1390000</c:v>
                </c:pt>
                <c:pt idx="11">
                  <c:v>984000</c:v>
                </c:pt>
                <c:pt idx="12">
                  <c:v>745000</c:v>
                </c:pt>
                <c:pt idx="13">
                  <c:v>537000</c:v>
                </c:pt>
                <c:pt idx="14">
                  <c:v>346000</c:v>
                </c:pt>
                <c:pt idx="15">
                  <c:v>335000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AGESEX!$A$12:$A$28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75+</c:v>
                </c:pt>
              </c:strCache>
            </c:strRef>
          </c:cat>
          <c:val>
            <c:numRef>
              <c:f>AGESEX!$C$12:$C$28</c:f>
              <c:numCache>
                <c:ptCount val="17"/>
                <c:pt idx="0">
                  <c:v>4544000</c:v>
                </c:pt>
                <c:pt idx="1">
                  <c:v>4042000</c:v>
                </c:pt>
                <c:pt idx="2">
                  <c:v>3735000</c:v>
                </c:pt>
                <c:pt idx="3">
                  <c:v>3647000</c:v>
                </c:pt>
                <c:pt idx="4">
                  <c:v>3309000</c:v>
                </c:pt>
                <c:pt idx="5">
                  <c:v>2793000</c:v>
                </c:pt>
                <c:pt idx="6">
                  <c:v>2353000</c:v>
                </c:pt>
                <c:pt idx="7">
                  <c:v>2112000</c:v>
                </c:pt>
                <c:pt idx="8">
                  <c:v>1691000</c:v>
                </c:pt>
                <c:pt idx="9">
                  <c:v>1409000</c:v>
                </c:pt>
                <c:pt idx="10">
                  <c:v>1241000</c:v>
                </c:pt>
                <c:pt idx="11">
                  <c:v>887000</c:v>
                </c:pt>
                <c:pt idx="12">
                  <c:v>697000</c:v>
                </c:pt>
                <c:pt idx="13">
                  <c:v>525000</c:v>
                </c:pt>
                <c:pt idx="14">
                  <c:v>348000</c:v>
                </c:pt>
                <c:pt idx="15">
                  <c:v>366000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9600183"/>
        <c:crosses val="autoZero"/>
        <c:auto val="0"/>
        <c:lblOffset val="100"/>
        <c:tickLblSkip val="2"/>
        <c:noMultiLvlLbl val="0"/>
      </c:catAx>
      <c:valAx>
        <c:axId val="49600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0.09575</cdr:y>
    </cdr:from>
    <cdr:to>
      <cdr:x>0.5865</cdr:x>
      <cdr:y>0.15275</cdr:y>
    </cdr:to>
    <cdr:sp>
      <cdr:nvSpPr>
        <cdr:cNvPr id="1" name="Text 1"/>
        <cdr:cNvSpPr txBox="1">
          <a:spLocks noChangeArrowheads="1"/>
        </cdr:cNvSpPr>
      </cdr:nvSpPr>
      <cdr:spPr>
        <a:xfrm>
          <a:off x="2838450" y="438150"/>
          <a:ext cx="23622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3.  Sex Ratios by 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67775" cy="4610100"/>
    <xdr:graphicFrame>
      <xdr:nvGraphicFramePr>
        <xdr:cNvPr id="1" name="Shape 1025"/>
        <xdr:cNvGraphicFramePr/>
      </xdr:nvGraphicFramePr>
      <xdr:xfrm>
        <a:off x="0" y="0"/>
        <a:ext cx="8867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0.09725</cdr:y>
    </cdr:from>
    <cdr:to>
      <cdr:x>0.6255</cdr:x>
      <cdr:y>0.15425</cdr:y>
    </cdr:to>
    <cdr:sp>
      <cdr:nvSpPr>
        <cdr:cNvPr id="1" name="Text 1"/>
        <cdr:cNvSpPr txBox="1">
          <a:spLocks noChangeArrowheads="1"/>
        </cdr:cNvSpPr>
      </cdr:nvSpPr>
      <cdr:spPr>
        <a:xfrm>
          <a:off x="2314575" y="447675"/>
          <a:ext cx="3228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2.  Age Ratios by Age and Sex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67775" cy="4610100"/>
    <xdr:graphicFrame>
      <xdr:nvGraphicFramePr>
        <xdr:cNvPr id="1" name="Shape 1025"/>
        <xdr:cNvGraphicFramePr/>
      </xdr:nvGraphicFramePr>
      <xdr:xfrm>
        <a:off x="0" y="0"/>
        <a:ext cx="8867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0.09725</cdr:y>
    </cdr:from>
    <cdr:to>
      <cdr:x>0.6345</cdr:x>
      <cdr:y>0.15425</cdr:y>
    </cdr:to>
    <cdr:sp>
      <cdr:nvSpPr>
        <cdr:cNvPr id="1" name="Text 1"/>
        <cdr:cNvSpPr txBox="1">
          <a:spLocks noChangeArrowheads="1"/>
        </cdr:cNvSpPr>
      </cdr:nvSpPr>
      <cdr:spPr>
        <a:xfrm>
          <a:off x="2505075" y="447675"/>
          <a:ext cx="3114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Population by Age and Sex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67775" cy="4610100"/>
    <xdr:graphicFrame>
      <xdr:nvGraphicFramePr>
        <xdr:cNvPr id="1" name="Shape 1025"/>
        <xdr:cNvGraphicFramePr/>
      </xdr:nvGraphicFramePr>
      <xdr:xfrm>
        <a:off x="0" y="0"/>
        <a:ext cx="8867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181"/>
  <sheetViews>
    <sheetView showGridLines="0" tabSelected="1" workbookViewId="0" topLeftCell="A62">
      <selection activeCell="A62" sqref="A62"/>
    </sheetView>
  </sheetViews>
  <sheetFormatPr defaultColWidth="10.875" defaultRowHeight="12.75"/>
  <cols>
    <col min="1" max="1" width="10.625" style="2" customWidth="1"/>
    <col min="2" max="3" width="12.625" style="2" customWidth="1"/>
    <col min="4" max="7" width="7.625" style="2" customWidth="1"/>
    <col min="8" max="8" width="12.125" style="2" customWidth="1"/>
    <col min="9" max="9" width="11.125" style="2" customWidth="1"/>
    <col min="10" max="16384" width="10.875" style="2" customWidth="1"/>
  </cols>
  <sheetData>
    <row r="1" ht="11.25">
      <c r="A1" s="1" t="s">
        <v>0</v>
      </c>
    </row>
    <row r="2" spans="1:3" ht="11.25">
      <c r="A2" s="3" t="s">
        <v>1</v>
      </c>
      <c r="C2" s="4"/>
    </row>
    <row r="3" ht="11.25">
      <c r="A3" s="5" t="s">
        <v>2</v>
      </c>
    </row>
    <row r="4" spans="1:9" ht="11.25">
      <c r="A4" s="6" t="s">
        <v>3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</row>
    <row r="5" ht="11.25">
      <c r="F5" s="7" t="s">
        <v>4</v>
      </c>
    </row>
    <row r="6" spans="2:8" ht="11.25">
      <c r="B6" s="7" t="s">
        <v>5</v>
      </c>
      <c r="D6" s="7" t="s">
        <v>6</v>
      </c>
      <c r="F6" s="8" t="s">
        <v>7</v>
      </c>
      <c r="H6" s="9" t="s">
        <v>8</v>
      </c>
    </row>
    <row r="7" spans="2:9" ht="11.25">
      <c r="B7" s="10" t="s">
        <v>9</v>
      </c>
      <c r="D7" s="8" t="s">
        <v>10</v>
      </c>
      <c r="F7" s="8" t="s">
        <v>10</v>
      </c>
      <c r="H7" s="9" t="s">
        <v>11</v>
      </c>
      <c r="I7" s="9" t="s">
        <v>8</v>
      </c>
    </row>
    <row r="8" spans="1:9" ht="11.25">
      <c r="A8" s="7" t="s">
        <v>12</v>
      </c>
      <c r="B8" s="11" t="s">
        <v>13</v>
      </c>
      <c r="C8" s="11" t="s">
        <v>14</v>
      </c>
      <c r="D8" s="9" t="s">
        <v>13</v>
      </c>
      <c r="E8" s="9" t="s">
        <v>14</v>
      </c>
      <c r="F8" s="9" t="s">
        <v>13</v>
      </c>
      <c r="G8" s="9" t="s">
        <v>14</v>
      </c>
      <c r="H8" s="9" t="s">
        <v>15</v>
      </c>
      <c r="I8" s="9" t="s">
        <v>16</v>
      </c>
    </row>
    <row r="9" spans="1:9" ht="11.25">
      <c r="A9" s="6" t="s">
        <v>3</v>
      </c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</row>
    <row r="10" spans="1:8" ht="11.25">
      <c r="A10" s="7" t="s">
        <v>17</v>
      </c>
      <c r="B10" s="4">
        <f>SUM(B12:B28)</f>
        <v>34582000</v>
      </c>
      <c r="C10" s="4">
        <f>SUM(C12:C28)</f>
        <v>33699000</v>
      </c>
      <c r="H10" s="12">
        <f>100*B10/C10</f>
        <v>102.62025579394047</v>
      </c>
    </row>
    <row r="11" ht="11.25">
      <c r="B11" s="13"/>
    </row>
    <row r="12" spans="1:12" ht="11.25">
      <c r="A12" s="7" t="s">
        <v>18</v>
      </c>
      <c r="B12" s="13">
        <v>4677000</v>
      </c>
      <c r="C12" s="13">
        <v>4544000</v>
      </c>
      <c r="H12" s="12">
        <f aca="true" t="shared" si="0" ref="H12:H23">100*B12/C12</f>
        <v>102.9269366197183</v>
      </c>
      <c r="K12" s="4"/>
      <c r="L12" s="4"/>
    </row>
    <row r="13" spans="1:12" ht="11.25">
      <c r="A13" s="7" t="s">
        <v>19</v>
      </c>
      <c r="B13" s="13">
        <v>4135000</v>
      </c>
      <c r="C13" s="13">
        <v>4042000</v>
      </c>
      <c r="D13" s="12">
        <f aca="true" t="shared" si="1" ref="D13:D22">200*B13/(B12+B14)</f>
        <v>97.27123029875324</v>
      </c>
      <c r="E13" s="12">
        <f aca="true" t="shared" si="2" ref="E13:E22">200*C13/(C12+C14)</f>
        <v>97.64464307283488</v>
      </c>
      <c r="F13" s="12">
        <f aca="true" t="shared" si="3" ref="F13:F22">D13-100</f>
        <v>-2.7287697012467618</v>
      </c>
      <c r="G13" s="12">
        <f aca="true" t="shared" si="4" ref="G13:G22">E13-100</f>
        <v>-2.3553569271651185</v>
      </c>
      <c r="H13" s="12">
        <f t="shared" si="0"/>
        <v>102.30084116773874</v>
      </c>
      <c r="I13" s="12">
        <f aca="true" t="shared" si="5" ref="I13:I22">H13-H12</f>
        <v>-0.6260954519795661</v>
      </c>
      <c r="K13" s="4"/>
      <c r="L13" s="4"/>
    </row>
    <row r="14" spans="1:12" ht="11.25">
      <c r="A14" s="7" t="s">
        <v>20</v>
      </c>
      <c r="B14" s="13">
        <v>3825000</v>
      </c>
      <c r="C14" s="13">
        <v>3735000</v>
      </c>
      <c r="D14" s="12">
        <f t="shared" si="1"/>
        <v>98.30377794911334</v>
      </c>
      <c r="E14" s="12">
        <f t="shared" si="2"/>
        <v>97.15177526336325</v>
      </c>
      <c r="F14" s="12">
        <f t="shared" si="3"/>
        <v>-1.6962220508866608</v>
      </c>
      <c r="G14" s="12">
        <f t="shared" si="4"/>
        <v>-2.8482247366367517</v>
      </c>
      <c r="H14" s="12">
        <f t="shared" si="0"/>
        <v>102.40963855421687</v>
      </c>
      <c r="I14" s="12">
        <f t="shared" si="5"/>
        <v>0.10879738647813042</v>
      </c>
      <c r="K14" s="4"/>
      <c r="L14" s="4"/>
    </row>
    <row r="15" spans="1:12" ht="11.25">
      <c r="A15" s="7" t="s">
        <v>21</v>
      </c>
      <c r="B15" s="13">
        <v>3647000</v>
      </c>
      <c r="C15" s="13">
        <v>3647000</v>
      </c>
      <c r="D15" s="12">
        <f t="shared" si="1"/>
        <v>103.13914027149322</v>
      </c>
      <c r="E15" s="12">
        <f t="shared" si="2"/>
        <v>103.54911981828506</v>
      </c>
      <c r="F15" s="12">
        <f t="shared" si="3"/>
        <v>3.1391402714932184</v>
      </c>
      <c r="G15" s="12">
        <f t="shared" si="4"/>
        <v>3.549119818285064</v>
      </c>
      <c r="H15" s="12">
        <f t="shared" si="0"/>
        <v>100</v>
      </c>
      <c r="I15" s="12">
        <f t="shared" si="5"/>
        <v>-2.409638554216869</v>
      </c>
      <c r="K15" s="4"/>
      <c r="L15" s="4"/>
    </row>
    <row r="16" spans="1:12" ht="11.25">
      <c r="A16" s="7" t="s">
        <v>22</v>
      </c>
      <c r="B16" s="13">
        <v>3247000</v>
      </c>
      <c r="C16" s="13">
        <v>3309000</v>
      </c>
      <c r="D16" s="12">
        <f t="shared" si="1"/>
        <v>100.69778260195379</v>
      </c>
      <c r="E16" s="12">
        <f t="shared" si="2"/>
        <v>102.7639751552795</v>
      </c>
      <c r="F16" s="12">
        <f t="shared" si="3"/>
        <v>0.69778260195379</v>
      </c>
      <c r="G16" s="12">
        <f t="shared" si="4"/>
        <v>2.763975155279496</v>
      </c>
      <c r="H16" s="12">
        <f t="shared" si="0"/>
        <v>98.12632215170747</v>
      </c>
      <c r="I16" s="12">
        <f t="shared" si="5"/>
        <v>-1.8736778482925303</v>
      </c>
      <c r="K16" s="4"/>
      <c r="L16" s="4"/>
    </row>
    <row r="17" spans="1:12" ht="11.25">
      <c r="A17" s="7" t="s">
        <v>23</v>
      </c>
      <c r="B17" s="13">
        <v>2802000</v>
      </c>
      <c r="C17" s="13">
        <v>2793000</v>
      </c>
      <c r="D17" s="12">
        <f t="shared" si="1"/>
        <v>99.08062234794907</v>
      </c>
      <c r="E17" s="12">
        <f t="shared" si="2"/>
        <v>98.65771812080537</v>
      </c>
      <c r="F17" s="12">
        <f t="shared" si="3"/>
        <v>-0.919377652050926</v>
      </c>
      <c r="G17" s="12">
        <f t="shared" si="4"/>
        <v>-1.3422818791946298</v>
      </c>
      <c r="H17" s="12">
        <f t="shared" si="0"/>
        <v>100.32223415682063</v>
      </c>
      <c r="I17" s="12">
        <f t="shared" si="5"/>
        <v>2.1959120051131578</v>
      </c>
      <c r="K17" s="4"/>
      <c r="L17" s="4"/>
    </row>
    <row r="18" spans="1:12" ht="11.25">
      <c r="A18" s="7" t="s">
        <v>24</v>
      </c>
      <c r="B18" s="13">
        <v>2409000</v>
      </c>
      <c r="C18" s="13">
        <v>2353000</v>
      </c>
      <c r="D18" s="12">
        <f t="shared" si="1"/>
        <v>96.09094535301156</v>
      </c>
      <c r="E18" s="12">
        <f t="shared" si="2"/>
        <v>95.94291539245668</v>
      </c>
      <c r="F18" s="12">
        <f t="shared" si="3"/>
        <v>-3.9090546469884373</v>
      </c>
      <c r="G18" s="12">
        <f t="shared" si="4"/>
        <v>-4.057084607543317</v>
      </c>
      <c r="H18" s="12">
        <f t="shared" si="0"/>
        <v>102.37994050148747</v>
      </c>
      <c r="I18" s="12">
        <f t="shared" si="5"/>
        <v>2.0577063446668404</v>
      </c>
      <c r="K18" s="4"/>
      <c r="L18" s="4"/>
    </row>
    <row r="19" spans="1:12" ht="11.25">
      <c r="A19" s="7" t="s">
        <v>25</v>
      </c>
      <c r="B19" s="13">
        <v>2212000</v>
      </c>
      <c r="C19" s="13">
        <v>2112000</v>
      </c>
      <c r="D19" s="12">
        <f t="shared" si="1"/>
        <v>105.45887961859357</v>
      </c>
      <c r="E19" s="12">
        <f t="shared" si="2"/>
        <v>104.45103857566765</v>
      </c>
      <c r="F19" s="12">
        <f t="shared" si="3"/>
        <v>5.458879618593571</v>
      </c>
      <c r="G19" s="12">
        <f t="shared" si="4"/>
        <v>4.451038575667653</v>
      </c>
      <c r="H19" s="12">
        <f t="shared" si="0"/>
        <v>104.73484848484848</v>
      </c>
      <c r="I19" s="12">
        <f t="shared" si="5"/>
        <v>2.3549079833610165</v>
      </c>
      <c r="K19" s="4"/>
      <c r="L19" s="4"/>
    </row>
    <row r="20" spans="1:12" ht="11.25">
      <c r="A20" s="7" t="s">
        <v>26</v>
      </c>
      <c r="B20" s="13">
        <v>1786000</v>
      </c>
      <c r="C20" s="13">
        <v>1691000</v>
      </c>
      <c r="D20" s="12">
        <f t="shared" si="1"/>
        <v>96.09900457358084</v>
      </c>
      <c r="E20" s="12">
        <f t="shared" si="2"/>
        <v>96.05225788128372</v>
      </c>
      <c r="F20" s="12">
        <f t="shared" si="3"/>
        <v>-3.9009954264191578</v>
      </c>
      <c r="G20" s="12">
        <f t="shared" si="4"/>
        <v>-3.9477421187162776</v>
      </c>
      <c r="H20" s="12">
        <f t="shared" si="0"/>
        <v>105.61797752808988</v>
      </c>
      <c r="I20" s="12">
        <f t="shared" si="5"/>
        <v>0.8831290432413965</v>
      </c>
      <c r="K20" s="4"/>
      <c r="L20" s="4"/>
    </row>
    <row r="21" spans="1:12" ht="11.25">
      <c r="A21" s="7" t="s">
        <v>27</v>
      </c>
      <c r="B21" s="13">
        <v>1505000</v>
      </c>
      <c r="C21" s="13">
        <v>1409000</v>
      </c>
      <c r="D21" s="12">
        <f t="shared" si="1"/>
        <v>94.77329974811083</v>
      </c>
      <c r="E21" s="12">
        <f t="shared" si="2"/>
        <v>96.11186903137789</v>
      </c>
      <c r="F21" s="12">
        <f t="shared" si="3"/>
        <v>-5.22670025188917</v>
      </c>
      <c r="G21" s="12">
        <f t="shared" si="4"/>
        <v>-3.8881309686221073</v>
      </c>
      <c r="H21" s="12">
        <f t="shared" si="0"/>
        <v>106.81334279630944</v>
      </c>
      <c r="I21" s="12">
        <f t="shared" si="5"/>
        <v>1.195365268219561</v>
      </c>
      <c r="K21" s="4"/>
      <c r="L21" s="4"/>
    </row>
    <row r="22" spans="1:12" ht="11.25">
      <c r="A22" s="7" t="s">
        <v>28</v>
      </c>
      <c r="B22" s="13">
        <v>1390000</v>
      </c>
      <c r="C22" s="13">
        <v>1241000</v>
      </c>
      <c r="D22" s="12">
        <f t="shared" si="1"/>
        <v>111.69144234632383</v>
      </c>
      <c r="E22" s="12">
        <f t="shared" si="2"/>
        <v>108.10104529616724</v>
      </c>
      <c r="F22" s="12">
        <f t="shared" si="3"/>
        <v>11.691442346323825</v>
      </c>
      <c r="G22" s="12">
        <f t="shared" si="4"/>
        <v>8.101045296167243</v>
      </c>
      <c r="H22" s="12">
        <f t="shared" si="0"/>
        <v>112.00644641418211</v>
      </c>
      <c r="I22" s="12">
        <f t="shared" si="5"/>
        <v>5.193103617872666</v>
      </c>
      <c r="K22" s="4"/>
      <c r="L22" s="4"/>
    </row>
    <row r="23" spans="1:12" ht="11.25">
      <c r="A23" s="7" t="s">
        <v>29</v>
      </c>
      <c r="B23" s="13">
        <v>984000</v>
      </c>
      <c r="C23" s="13">
        <v>887000</v>
      </c>
      <c r="D23" s="12">
        <f aca="true" t="shared" si="6" ref="D23:E26">IF($B25&gt;0,200*B23/(B22+B24),NA())</f>
        <v>92.17798594847775</v>
      </c>
      <c r="E23" s="12">
        <f t="shared" si="6"/>
        <v>91.53766769865841</v>
      </c>
      <c r="F23" s="12">
        <f aca="true" t="shared" si="7" ref="F23:G26">IF($B25&gt;0,D23-100,0)</f>
        <v>-7.822014051522245</v>
      </c>
      <c r="G23" s="12">
        <f t="shared" si="7"/>
        <v>-8.46233230134159</v>
      </c>
      <c r="H23" s="12">
        <f t="shared" si="0"/>
        <v>110.93573844419392</v>
      </c>
      <c r="I23" s="12">
        <f>IF(ISNA(H24),0,H23-H22)</f>
        <v>-1.0707079699881916</v>
      </c>
      <c r="K23" s="4"/>
      <c r="L23" s="4"/>
    </row>
    <row r="24" spans="1:12" ht="11.25">
      <c r="A24" s="14" t="str">
        <f>IF($C$151&gt;12,"60-64",IF($C$151=12,"60+",""))</f>
        <v>60-64</v>
      </c>
      <c r="B24" s="13">
        <v>745000</v>
      </c>
      <c r="C24" s="13">
        <v>697000</v>
      </c>
      <c r="D24" s="12">
        <f t="shared" si="6"/>
        <v>97.96186719263642</v>
      </c>
      <c r="E24" s="12">
        <f t="shared" si="6"/>
        <v>98.72521246458923</v>
      </c>
      <c r="F24" s="12">
        <f t="shared" si="7"/>
        <v>-2.0381328073635814</v>
      </c>
      <c r="G24" s="12">
        <f t="shared" si="7"/>
        <v>-1.2747875354107663</v>
      </c>
      <c r="H24" s="12">
        <f>IF(B24&gt;0,100*B24/C24,NA())</f>
        <v>106.88665710186514</v>
      </c>
      <c r="I24" s="12">
        <f>IF(ISNA(H25),0,H24-H23)</f>
        <v>-4.049081342328776</v>
      </c>
      <c r="K24" s="4"/>
      <c r="L24" s="4"/>
    </row>
    <row r="25" spans="1:12" ht="11.25">
      <c r="A25" s="14" t="str">
        <f>IF($C$151&gt;13,"65-69",IF($C$151=13,"65+",""))</f>
        <v>65-69</v>
      </c>
      <c r="B25" s="13">
        <v>537000</v>
      </c>
      <c r="C25" s="13">
        <v>525000</v>
      </c>
      <c r="D25" s="12">
        <f t="shared" si="6"/>
        <v>98.44179651695693</v>
      </c>
      <c r="E25" s="12">
        <f t="shared" si="6"/>
        <v>100.47846889952153</v>
      </c>
      <c r="F25" s="12">
        <f t="shared" si="7"/>
        <v>-1.5582034830430729</v>
      </c>
      <c r="G25" s="12">
        <f t="shared" si="7"/>
        <v>0.4784688995215305</v>
      </c>
      <c r="H25" s="12">
        <f>IF(B25&gt;0,100*B25/C25,NA())</f>
        <v>102.28571428571429</v>
      </c>
      <c r="I25" s="12">
        <f>IF(ISNA(H26),0,H25-H24)</f>
        <v>-4.600942816150848</v>
      </c>
      <c r="K25" s="4"/>
      <c r="L25" s="4"/>
    </row>
    <row r="26" spans="1:12" ht="11.25">
      <c r="A26" s="14" t="str">
        <f>IF($C$151&gt;14,"70-74",IF($C$151=14,"70+",""))</f>
        <v>70-74</v>
      </c>
      <c r="B26" s="13">
        <v>346000</v>
      </c>
      <c r="C26" s="13">
        <v>348000</v>
      </c>
      <c r="D26" s="12" t="e">
        <f t="shared" si="6"/>
        <v>#N/A</v>
      </c>
      <c r="E26" s="12" t="e">
        <f t="shared" si="6"/>
        <v>#N/A</v>
      </c>
      <c r="F26" s="12">
        <f t="shared" si="7"/>
        <v>0</v>
      </c>
      <c r="G26" s="12">
        <f t="shared" si="7"/>
        <v>0</v>
      </c>
      <c r="H26" s="12">
        <f>IF(B26&gt;0,100*B26/C26,NA())</f>
        <v>99.42528735632185</v>
      </c>
      <c r="I26" s="12">
        <f>IF(ISNA(H27),0,H26-H25)</f>
        <v>-2.860426929392446</v>
      </c>
      <c r="K26" s="4"/>
      <c r="L26" s="4"/>
    </row>
    <row r="27" spans="1:12" ht="11.25">
      <c r="A27" s="14" t="str">
        <f>IF($C$151&gt;15,"75-79",IF($C$151=15,"75+",""))</f>
        <v>75+</v>
      </c>
      <c r="B27" s="13">
        <v>335000</v>
      </c>
      <c r="C27" s="13">
        <v>366000</v>
      </c>
      <c r="D27" s="14" t="e">
        <f>NA()</f>
        <v>#N/A</v>
      </c>
      <c r="E27" s="14" t="e">
        <f>NA()</f>
        <v>#N/A</v>
      </c>
      <c r="F27" s="14" t="e">
        <f>NA()</f>
        <v>#N/A</v>
      </c>
      <c r="G27" s="14" t="e">
        <f>NA()</f>
        <v>#N/A</v>
      </c>
      <c r="H27" s="12">
        <f>IF(B27&gt;0,100*B27/C27,NA())</f>
        <v>91.53005464480874</v>
      </c>
      <c r="I27" s="14" t="e">
        <f>NA()</f>
        <v>#N/A</v>
      </c>
      <c r="K27" s="4"/>
      <c r="L27" s="4"/>
    </row>
    <row r="28" spans="1:9" ht="11.25">
      <c r="A28" s="14">
        <f>IF($C$151=16,"80+","")</f>
      </c>
      <c r="B28" s="13"/>
      <c r="C28" s="13"/>
      <c r="D28" s="14">
        <f>IF($C$151=16,NA(),"")</f>
      </c>
      <c r="E28" s="14">
        <f>IF($C$151=16,NA(),"")</f>
      </c>
      <c r="F28" s="14">
        <f>IF($C$151=16,NA(),"")</f>
      </c>
      <c r="G28" s="14">
        <f>IF($C$151=16,NA(),"")</f>
      </c>
      <c r="I28" s="14">
        <f>IF($C$151=16,NA(),"")</f>
      </c>
    </row>
    <row r="30" spans="1:5" ht="11.25">
      <c r="A30" s="7" t="s">
        <v>30</v>
      </c>
      <c r="E30" s="12">
        <f>SUM(B162:B175)/(C151-2)</f>
        <v>3.9066703776749554</v>
      </c>
    </row>
    <row r="31" spans="1:5" ht="11.25">
      <c r="A31" s="7" t="s">
        <v>31</v>
      </c>
      <c r="E31" s="12">
        <f>SUM(C162:C175)/(C151-2)</f>
        <v>3.6553529861193494</v>
      </c>
    </row>
    <row r="32" spans="1:5" ht="11.25">
      <c r="A32" s="7" t="s">
        <v>32</v>
      </c>
      <c r="E32" s="12">
        <f>SUM(D162:D175)/MINA(C151-1,14)</f>
        <v>2.2485351829501425</v>
      </c>
    </row>
    <row r="34" spans="1:5" ht="11.25">
      <c r="A34" s="7" t="s">
        <v>33</v>
      </c>
      <c r="E34" s="12">
        <f>3*E32+E31+E30</f>
        <v>14.307628912644734</v>
      </c>
    </row>
    <row r="35" spans="1:5" ht="11.25">
      <c r="A35" s="7" t="s">
        <v>34</v>
      </c>
      <c r="E35" s="13" t="str">
        <f>IF(B10+C10&gt;1000000,"       X",B10+C10)</f>
        <v>       X</v>
      </c>
    </row>
    <row r="36" spans="1:5" ht="11.25">
      <c r="A36" s="7" t="s">
        <v>35</v>
      </c>
      <c r="E36" s="12" t="str">
        <f>IF(ISNONTEXT(E35),IF(E35&gt;=1000000,"       X",E34-3500/SQRT(E35)+3.5),"       X")</f>
        <v>       X</v>
      </c>
    </row>
    <row r="37" spans="1:9" ht="11.25">
      <c r="A37" s="6" t="s">
        <v>3</v>
      </c>
      <c r="B37" s="6" t="s">
        <v>3</v>
      </c>
      <c r="C37" s="6" t="s">
        <v>3</v>
      </c>
      <c r="D37" s="6" t="s">
        <v>3</v>
      </c>
      <c r="E37" s="6" t="s">
        <v>3</v>
      </c>
      <c r="F37" s="6" t="s">
        <v>3</v>
      </c>
      <c r="G37" s="6" t="s">
        <v>3</v>
      </c>
      <c r="H37" s="6" t="s">
        <v>3</v>
      </c>
      <c r="I37" s="6" t="s">
        <v>3</v>
      </c>
    </row>
    <row r="38" ht="11.25">
      <c r="A38" s="14" t="str">
        <f>IF(ISTEXT(E35),"X  Not applicable.","")</f>
        <v>X  Not applicable.</v>
      </c>
    </row>
    <row r="39" spans="1:7" ht="11.25">
      <c r="A39" s="1" t="s">
        <v>36</v>
      </c>
      <c r="B39" s="15"/>
      <c r="C39" s="15"/>
      <c r="D39" s="15"/>
      <c r="E39" s="15"/>
      <c r="F39" s="15"/>
      <c r="G39" s="15"/>
    </row>
    <row r="40" spans="1:7" ht="11.25">
      <c r="A40" s="15"/>
      <c r="B40" s="15"/>
      <c r="C40" s="15"/>
      <c r="D40" s="15"/>
      <c r="E40" s="15"/>
      <c r="F40" s="15"/>
      <c r="G40" s="15"/>
    </row>
    <row r="41" spans="1:7" ht="11.25">
      <c r="A41" s="15"/>
      <c r="B41" s="15"/>
      <c r="C41" s="15"/>
      <c r="D41" s="15"/>
      <c r="E41" s="15"/>
      <c r="F41" s="15"/>
      <c r="G41" s="15"/>
    </row>
    <row r="42" spans="1:7" ht="11.25">
      <c r="A42" s="15"/>
      <c r="B42" s="15"/>
      <c r="C42" s="15"/>
      <c r="D42" s="15"/>
      <c r="E42" s="15"/>
      <c r="F42" s="15"/>
      <c r="G42" s="15"/>
    </row>
    <row r="43" spans="1:7" ht="11.25">
      <c r="A43" s="15"/>
      <c r="B43" s="15"/>
      <c r="C43" s="15"/>
      <c r="D43" s="15"/>
      <c r="E43" s="15"/>
      <c r="F43" s="15"/>
      <c r="G43" s="15"/>
    </row>
    <row r="44" spans="1:7" ht="11.25">
      <c r="A44" s="15"/>
      <c r="B44" s="15"/>
      <c r="C44" s="15"/>
      <c r="D44" s="15"/>
      <c r="E44" s="15"/>
      <c r="F44" s="15"/>
      <c r="G44" s="15"/>
    </row>
    <row r="45" spans="1:7" ht="11.25">
      <c r="A45" s="15"/>
      <c r="B45" s="15"/>
      <c r="C45" s="15"/>
      <c r="D45" s="15"/>
      <c r="E45" s="15"/>
      <c r="F45" s="15"/>
      <c r="G45" s="15"/>
    </row>
    <row r="46" spans="1:7" ht="11.25">
      <c r="A46" s="15"/>
      <c r="B46" s="15"/>
      <c r="C46" s="15"/>
      <c r="D46" s="15"/>
      <c r="E46" s="15"/>
      <c r="F46" s="15"/>
      <c r="G46" s="15"/>
    </row>
    <row r="47" spans="1:7" ht="11.25">
      <c r="A47" s="15"/>
      <c r="B47" s="15"/>
      <c r="C47" s="15"/>
      <c r="D47" s="15"/>
      <c r="E47" s="15"/>
      <c r="F47" s="15"/>
      <c r="G47" s="15"/>
    </row>
    <row r="48" spans="1:7" ht="11.25">
      <c r="A48" s="1" t="s">
        <v>37</v>
      </c>
      <c r="B48" s="15"/>
      <c r="C48" s="15"/>
      <c r="D48" s="15"/>
      <c r="E48" s="15"/>
      <c r="F48" s="15"/>
      <c r="G48" s="15"/>
    </row>
    <row r="49" ht="11.25">
      <c r="A49" s="7"/>
    </row>
    <row r="50" ht="11.25">
      <c r="A50" s="15"/>
    </row>
    <row r="51" ht="11.25">
      <c r="A51" s="15"/>
    </row>
    <row r="52" ht="11.25">
      <c r="A52" s="15"/>
    </row>
    <row r="53" ht="11.25">
      <c r="A53" s="15"/>
    </row>
    <row r="54" ht="11.25">
      <c r="A54" s="15"/>
    </row>
    <row r="55" ht="11.25">
      <c r="A55" s="15"/>
    </row>
    <row r="56" ht="11.25">
      <c r="A56" s="15"/>
    </row>
    <row r="57" ht="11.25">
      <c r="A57" s="15"/>
    </row>
    <row r="58" ht="11.25">
      <c r="A58" s="15"/>
    </row>
    <row r="59" ht="11.25">
      <c r="A59" s="15"/>
    </row>
    <row r="60" spans="1:4" ht="11.25">
      <c r="A60" s="15"/>
      <c r="B60" s="15"/>
      <c r="C60" s="15"/>
      <c r="D60" s="15"/>
    </row>
    <row r="62" ht="11.25">
      <c r="A62" s="16" t="s">
        <v>38</v>
      </c>
    </row>
    <row r="63" ht="11.25">
      <c r="A63" s="5" t="s">
        <v>39</v>
      </c>
    </row>
    <row r="65" ht="11.25">
      <c r="A65" s="16" t="s">
        <v>40</v>
      </c>
    </row>
    <row r="67" ht="11.25">
      <c r="A67" s="7" t="s">
        <v>41</v>
      </c>
    </row>
    <row r="69" ht="11.25">
      <c r="A69" s="7" t="s">
        <v>42</v>
      </c>
    </row>
    <row r="70" ht="11.25">
      <c r="A70" s="7" t="s">
        <v>43</v>
      </c>
    </row>
    <row r="78" ht="11.25">
      <c r="A78" s="16" t="s">
        <v>44</v>
      </c>
    </row>
    <row r="82" ht="11.25">
      <c r="A82" s="16" t="s">
        <v>45</v>
      </c>
    </row>
    <row r="84" spans="1:2" ht="11.25">
      <c r="A84" s="7" t="s">
        <v>46</v>
      </c>
      <c r="B84" s="7" t="s">
        <v>47</v>
      </c>
    </row>
    <row r="85" spans="1:7" ht="11.25">
      <c r="A85" s="7" t="s">
        <v>48</v>
      </c>
      <c r="B85" s="6" t="s">
        <v>3</v>
      </c>
      <c r="C85" s="6" t="s">
        <v>3</v>
      </c>
      <c r="D85" s="6" t="s">
        <v>3</v>
      </c>
      <c r="E85" s="6" t="s">
        <v>3</v>
      </c>
      <c r="F85" s="6" t="s">
        <v>3</v>
      </c>
      <c r="G85" s="6" t="s">
        <v>3</v>
      </c>
    </row>
    <row r="86" spans="1:2" ht="11.25">
      <c r="A86" s="7" t="s">
        <v>49</v>
      </c>
      <c r="B86" s="16" t="s">
        <v>50</v>
      </c>
    </row>
    <row r="87" spans="1:2" ht="11.25">
      <c r="A87" s="7" t="s">
        <v>51</v>
      </c>
      <c r="B87" s="16" t="s">
        <v>52</v>
      </c>
    </row>
    <row r="88" ht="11.25">
      <c r="B88" s="17" t="s">
        <v>53</v>
      </c>
    </row>
    <row r="89" spans="1:2" ht="11.25">
      <c r="A89" s="7" t="s">
        <v>54</v>
      </c>
      <c r="B89" s="16" t="s">
        <v>55</v>
      </c>
    </row>
    <row r="90" spans="1:2" ht="11.25">
      <c r="A90" s="7" t="s">
        <v>56</v>
      </c>
      <c r="B90" s="16" t="s">
        <v>57</v>
      </c>
    </row>
    <row r="91" spans="1:2" ht="11.25">
      <c r="A91" s="7" t="s">
        <v>58</v>
      </c>
      <c r="B91" s="16" t="s">
        <v>59</v>
      </c>
    </row>
    <row r="92" ht="11.25">
      <c r="B92" s="7" t="s">
        <v>60</v>
      </c>
    </row>
    <row r="93" ht="11.25">
      <c r="B93" s="7" t="s">
        <v>61</v>
      </c>
    </row>
    <row r="95" spans="1:2" ht="11.25">
      <c r="A95" s="7" t="s">
        <v>62</v>
      </c>
      <c r="B95" s="7" t="s">
        <v>63</v>
      </c>
    </row>
    <row r="96" spans="1:2" ht="11.25">
      <c r="A96" s="7" t="s">
        <v>64</v>
      </c>
      <c r="B96" s="16" t="s">
        <v>65</v>
      </c>
    </row>
    <row r="97" ht="11.25">
      <c r="B97" s="7" t="s">
        <v>66</v>
      </c>
    </row>
    <row r="99" ht="11.25">
      <c r="A99" s="16" t="s">
        <v>44</v>
      </c>
    </row>
    <row r="102" ht="11.25">
      <c r="A102" s="7" t="s">
        <v>67</v>
      </c>
    </row>
    <row r="103" ht="11.25">
      <c r="A103" s="7" t="s">
        <v>68</v>
      </c>
    </row>
    <row r="104" spans="1:2" ht="11.25">
      <c r="A104" s="7" t="s">
        <v>46</v>
      </c>
      <c r="B104" s="7" t="s">
        <v>47</v>
      </c>
    </row>
    <row r="105" spans="1:7" ht="11.25">
      <c r="A105" s="7" t="s">
        <v>48</v>
      </c>
      <c r="B105" s="6" t="s">
        <v>3</v>
      </c>
      <c r="C105" s="6" t="s">
        <v>3</v>
      </c>
      <c r="D105" s="6" t="s">
        <v>3</v>
      </c>
      <c r="E105" s="6" t="s">
        <v>3</v>
      </c>
      <c r="F105" s="6" t="s">
        <v>3</v>
      </c>
      <c r="G105" s="6" t="s">
        <v>3</v>
      </c>
    </row>
    <row r="106" spans="1:2" ht="11.25">
      <c r="A106" s="7" t="s">
        <v>69</v>
      </c>
      <c r="B106" s="7" t="s">
        <v>70</v>
      </c>
    </row>
    <row r="107" ht="11.25">
      <c r="B107" s="7" t="s">
        <v>71</v>
      </c>
    </row>
    <row r="109" ht="11.25">
      <c r="A109" s="18"/>
    </row>
    <row r="112" ht="11.25">
      <c r="A112" s="7" t="s">
        <v>72</v>
      </c>
    </row>
    <row r="114" spans="1:2" ht="11.25">
      <c r="A114" s="7" t="s">
        <v>73</v>
      </c>
      <c r="B114" s="7" t="s">
        <v>47</v>
      </c>
    </row>
    <row r="115" spans="1:7" ht="11.25">
      <c r="A115" s="7" t="s">
        <v>74</v>
      </c>
      <c r="B115" s="6" t="s">
        <v>3</v>
      </c>
      <c r="C115" s="6" t="s">
        <v>3</v>
      </c>
      <c r="D115" s="6" t="s">
        <v>3</v>
      </c>
      <c r="E115" s="6" t="s">
        <v>3</v>
      </c>
      <c r="F115" s="6" t="s">
        <v>3</v>
      </c>
      <c r="G115" s="6" t="s">
        <v>3</v>
      </c>
    </row>
    <row r="116" spans="1:2" ht="11.25">
      <c r="A116" s="7" t="s">
        <v>75</v>
      </c>
      <c r="B116" s="16" t="s">
        <v>76</v>
      </c>
    </row>
    <row r="117" spans="1:2" ht="11.25">
      <c r="A117" s="7" t="s">
        <v>77</v>
      </c>
      <c r="B117" s="16" t="s">
        <v>78</v>
      </c>
    </row>
    <row r="118" spans="1:2" ht="11.25">
      <c r="A118" s="7" t="s">
        <v>79</v>
      </c>
      <c r="B118" s="16" t="s">
        <v>80</v>
      </c>
    </row>
    <row r="120" ht="11.25">
      <c r="A120" s="7" t="s">
        <v>81</v>
      </c>
    </row>
    <row r="122" ht="11.25">
      <c r="A122" s="7"/>
    </row>
    <row r="123" ht="11.25">
      <c r="A123" s="7"/>
    </row>
    <row r="124" ht="11.25">
      <c r="A124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29" ht="11.25">
      <c r="A129" s="7"/>
    </row>
    <row r="130" ht="11.25">
      <c r="A130" s="7"/>
    </row>
    <row r="131" ht="11.25">
      <c r="A131" s="7"/>
    </row>
    <row r="132" ht="11.25">
      <c r="A132" s="7"/>
    </row>
    <row r="133" ht="11.25">
      <c r="A133" s="7"/>
    </row>
    <row r="134" ht="11.25">
      <c r="A134" s="7"/>
    </row>
    <row r="135" ht="11.25">
      <c r="A135" s="7"/>
    </row>
    <row r="136" ht="11.25">
      <c r="A136" s="7"/>
    </row>
    <row r="137" ht="11.25">
      <c r="A137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49" ht="11.25">
      <c r="A149" s="7" t="s">
        <v>82</v>
      </c>
    </row>
    <row r="151" spans="1:3" ht="11.25">
      <c r="A151" s="7" t="s">
        <v>83</v>
      </c>
      <c r="C151" s="14">
        <f>COUNTA(B12:B28)-1</f>
        <v>15</v>
      </c>
    </row>
    <row r="153" ht="11.25">
      <c r="A153" s="7" t="s">
        <v>84</v>
      </c>
    </row>
    <row r="154" spans="1:4" ht="11.25">
      <c r="A154" s="6" t="s">
        <v>3</v>
      </c>
      <c r="B154" s="6" t="s">
        <v>3</v>
      </c>
      <c r="C154" s="6" t="s">
        <v>3</v>
      </c>
      <c r="D154" s="6" t="s">
        <v>3</v>
      </c>
    </row>
    <row r="155" ht="11.25">
      <c r="B155" s="7" t="s">
        <v>85</v>
      </c>
    </row>
    <row r="156" spans="2:6" ht="11.25">
      <c r="B156" s="7" t="s">
        <v>86</v>
      </c>
      <c r="D156" s="17" t="s">
        <v>87</v>
      </c>
      <c r="F156" s="19" t="s">
        <v>88</v>
      </c>
    </row>
    <row r="157" spans="2:6" ht="11.25">
      <c r="B157" s="7" t="s">
        <v>89</v>
      </c>
      <c r="D157" s="17" t="s">
        <v>90</v>
      </c>
      <c r="E157" s="19" t="s">
        <v>91</v>
      </c>
      <c r="F157" s="19" t="s">
        <v>92</v>
      </c>
    </row>
    <row r="158" spans="2:6" ht="11.25">
      <c r="B158" s="6" t="s">
        <v>3</v>
      </c>
      <c r="C158" s="6" t="s">
        <v>3</v>
      </c>
      <c r="D158" s="17" t="s">
        <v>93</v>
      </c>
      <c r="E158" s="19" t="s">
        <v>94</v>
      </c>
      <c r="F158" s="19" t="s">
        <v>90</v>
      </c>
    </row>
    <row r="159" spans="1:6" ht="11.25">
      <c r="A159" s="7" t="s">
        <v>12</v>
      </c>
      <c r="B159" s="17" t="s">
        <v>13</v>
      </c>
      <c r="C159" s="17" t="s">
        <v>14</v>
      </c>
      <c r="D159" s="17" t="s">
        <v>16</v>
      </c>
      <c r="E159" s="19" t="s">
        <v>93</v>
      </c>
      <c r="F159" s="19" t="s">
        <v>93</v>
      </c>
    </row>
    <row r="160" spans="1:4" ht="11.25">
      <c r="A160" s="6" t="s">
        <v>3</v>
      </c>
      <c r="B160" s="6" t="s">
        <v>3</v>
      </c>
      <c r="C160" s="6" t="s">
        <v>3</v>
      </c>
      <c r="D160" s="6" t="s">
        <v>3</v>
      </c>
    </row>
    <row r="161" spans="1:6" ht="11.25">
      <c r="A161" s="20" t="s">
        <v>18</v>
      </c>
      <c r="B161" s="6"/>
      <c r="C161" s="6"/>
      <c r="D161" s="6"/>
      <c r="F161" s="2">
        <f aca="true" t="shared" si="8" ref="F161:F176">IF(ISNA(H12),100,H12)</f>
        <v>102.9269366197183</v>
      </c>
    </row>
    <row r="162" spans="1:6" ht="11.25">
      <c r="A162" s="7" t="s">
        <v>19</v>
      </c>
      <c r="B162" s="12">
        <f aca="true" t="shared" si="9" ref="B162:B175">ABS(F13)</f>
        <v>2.7287697012467618</v>
      </c>
      <c r="C162" s="12">
        <f aca="true" t="shared" si="10" ref="C162:C175">ABS(G13)</f>
        <v>2.3553569271651185</v>
      </c>
      <c r="D162" s="12">
        <f aca="true" t="shared" si="11" ref="D162:D175">ABS(I13)</f>
        <v>0.6260954519795661</v>
      </c>
      <c r="E162" s="2">
        <f aca="true" t="shared" si="12" ref="E162:E176">IF(ISNA(D13),100,MINA(D13:E13))</f>
        <v>97.27123029875324</v>
      </c>
      <c r="F162" s="2">
        <f t="shared" si="8"/>
        <v>102.30084116773874</v>
      </c>
    </row>
    <row r="163" spans="1:6" ht="11.25">
      <c r="A163" s="7" t="s">
        <v>20</v>
      </c>
      <c r="B163" s="12">
        <f t="shared" si="9"/>
        <v>1.6962220508866608</v>
      </c>
      <c r="C163" s="12">
        <f t="shared" si="10"/>
        <v>2.8482247366367517</v>
      </c>
      <c r="D163" s="12">
        <f t="shared" si="11"/>
        <v>0.10879738647813042</v>
      </c>
      <c r="E163" s="2">
        <f t="shared" si="12"/>
        <v>97.15177526336325</v>
      </c>
      <c r="F163" s="2">
        <f t="shared" si="8"/>
        <v>102.40963855421687</v>
      </c>
    </row>
    <row r="164" spans="1:6" ht="11.25">
      <c r="A164" s="7" t="s">
        <v>21</v>
      </c>
      <c r="B164" s="12">
        <f t="shared" si="9"/>
        <v>3.1391402714932184</v>
      </c>
      <c r="C164" s="12">
        <f t="shared" si="10"/>
        <v>3.549119818285064</v>
      </c>
      <c r="D164" s="12">
        <f t="shared" si="11"/>
        <v>2.409638554216869</v>
      </c>
      <c r="E164" s="2">
        <f t="shared" si="12"/>
        <v>103.13914027149322</v>
      </c>
      <c r="F164" s="2">
        <f t="shared" si="8"/>
        <v>100</v>
      </c>
    </row>
    <row r="165" spans="1:6" ht="11.25">
      <c r="A165" s="7" t="s">
        <v>22</v>
      </c>
      <c r="B165" s="12">
        <f t="shared" si="9"/>
        <v>0.69778260195379</v>
      </c>
      <c r="C165" s="12">
        <f t="shared" si="10"/>
        <v>2.763975155279496</v>
      </c>
      <c r="D165" s="12">
        <f t="shared" si="11"/>
        <v>1.8736778482925303</v>
      </c>
      <c r="E165" s="2">
        <f t="shared" si="12"/>
        <v>100.69778260195379</v>
      </c>
      <c r="F165" s="2">
        <f t="shared" si="8"/>
        <v>98.12632215170747</v>
      </c>
    </row>
    <row r="166" spans="1:6" ht="11.25">
      <c r="A166" s="7" t="s">
        <v>23</v>
      </c>
      <c r="B166" s="12">
        <f t="shared" si="9"/>
        <v>0.919377652050926</v>
      </c>
      <c r="C166" s="12">
        <f t="shared" si="10"/>
        <v>1.3422818791946298</v>
      </c>
      <c r="D166" s="12">
        <f t="shared" si="11"/>
        <v>2.1959120051131578</v>
      </c>
      <c r="E166" s="2">
        <f t="shared" si="12"/>
        <v>98.65771812080537</v>
      </c>
      <c r="F166" s="2">
        <f t="shared" si="8"/>
        <v>100.32223415682063</v>
      </c>
    </row>
    <row r="167" spans="1:6" ht="11.25">
      <c r="A167" s="7" t="s">
        <v>24</v>
      </c>
      <c r="B167" s="12">
        <f t="shared" si="9"/>
        <v>3.9090546469884373</v>
      </c>
      <c r="C167" s="12">
        <f t="shared" si="10"/>
        <v>4.057084607543317</v>
      </c>
      <c r="D167" s="12">
        <f t="shared" si="11"/>
        <v>2.0577063446668404</v>
      </c>
      <c r="E167" s="2">
        <f t="shared" si="12"/>
        <v>95.94291539245668</v>
      </c>
      <c r="F167" s="2">
        <f t="shared" si="8"/>
        <v>102.37994050148747</v>
      </c>
    </row>
    <row r="168" spans="1:6" ht="11.25">
      <c r="A168" s="7" t="s">
        <v>25</v>
      </c>
      <c r="B168" s="12">
        <f t="shared" si="9"/>
        <v>5.458879618593571</v>
      </c>
      <c r="C168" s="12">
        <f t="shared" si="10"/>
        <v>4.451038575667653</v>
      </c>
      <c r="D168" s="12">
        <f t="shared" si="11"/>
        <v>2.3549079833610165</v>
      </c>
      <c r="E168" s="2">
        <f t="shared" si="12"/>
        <v>104.45103857566765</v>
      </c>
      <c r="F168" s="2">
        <f t="shared" si="8"/>
        <v>104.73484848484848</v>
      </c>
    </row>
    <row r="169" spans="1:6" ht="11.25">
      <c r="A169" s="7" t="s">
        <v>26</v>
      </c>
      <c r="B169" s="12">
        <f t="shared" si="9"/>
        <v>3.9009954264191578</v>
      </c>
      <c r="C169" s="12">
        <f t="shared" si="10"/>
        <v>3.9477421187162776</v>
      </c>
      <c r="D169" s="12">
        <f t="shared" si="11"/>
        <v>0.8831290432413965</v>
      </c>
      <c r="E169" s="2">
        <f t="shared" si="12"/>
        <v>96.05225788128372</v>
      </c>
      <c r="F169" s="2">
        <f t="shared" si="8"/>
        <v>105.61797752808988</v>
      </c>
    </row>
    <row r="170" spans="1:6" ht="11.25">
      <c r="A170" s="7" t="s">
        <v>27</v>
      </c>
      <c r="B170" s="12">
        <f t="shared" si="9"/>
        <v>5.22670025188917</v>
      </c>
      <c r="C170" s="12">
        <f t="shared" si="10"/>
        <v>3.8881309686221073</v>
      </c>
      <c r="D170" s="12">
        <f t="shared" si="11"/>
        <v>1.195365268219561</v>
      </c>
      <c r="E170" s="2">
        <f t="shared" si="12"/>
        <v>94.77329974811083</v>
      </c>
      <c r="F170" s="2">
        <f t="shared" si="8"/>
        <v>106.81334279630944</v>
      </c>
    </row>
    <row r="171" spans="1:6" ht="11.25">
      <c r="A171" s="7" t="s">
        <v>28</v>
      </c>
      <c r="B171" s="12">
        <f t="shared" si="9"/>
        <v>11.691442346323825</v>
      </c>
      <c r="C171" s="12">
        <f t="shared" si="10"/>
        <v>8.101045296167243</v>
      </c>
      <c r="D171" s="12">
        <f t="shared" si="11"/>
        <v>5.193103617872666</v>
      </c>
      <c r="E171" s="2">
        <f t="shared" si="12"/>
        <v>108.10104529616724</v>
      </c>
      <c r="F171" s="2">
        <f t="shared" si="8"/>
        <v>112.00644641418211</v>
      </c>
    </row>
    <row r="172" spans="1:6" ht="11.25">
      <c r="A172" s="7" t="s">
        <v>29</v>
      </c>
      <c r="B172" s="12">
        <f t="shared" si="9"/>
        <v>7.822014051522245</v>
      </c>
      <c r="C172" s="12">
        <f t="shared" si="10"/>
        <v>8.46233230134159</v>
      </c>
      <c r="D172" s="12">
        <f t="shared" si="11"/>
        <v>1.0707079699881916</v>
      </c>
      <c r="E172" s="2">
        <f t="shared" si="12"/>
        <v>91.53766769865841</v>
      </c>
      <c r="F172" s="2">
        <f t="shared" si="8"/>
        <v>110.93573844419392</v>
      </c>
    </row>
    <row r="173" spans="1:6" ht="11.25">
      <c r="A173" s="14" t="str">
        <f>IF($C$151&gt;12,"60-64",IF($C$151=12,"60+",""))</f>
        <v>60-64</v>
      </c>
      <c r="B173" s="12">
        <f t="shared" si="9"/>
        <v>2.0381328073635814</v>
      </c>
      <c r="C173" s="12">
        <f t="shared" si="10"/>
        <v>1.2747875354107663</v>
      </c>
      <c r="D173" s="12">
        <f t="shared" si="11"/>
        <v>4.049081342328776</v>
      </c>
      <c r="E173" s="2">
        <f t="shared" si="12"/>
        <v>97.96186719263642</v>
      </c>
      <c r="F173" s="2">
        <f t="shared" si="8"/>
        <v>106.88665710186514</v>
      </c>
    </row>
    <row r="174" spans="1:6" ht="11.25">
      <c r="A174" s="14" t="str">
        <f>IF($C$151&gt;13,"65-69",IF($C$151=13,"65+",""))</f>
        <v>65-69</v>
      </c>
      <c r="B174" s="12">
        <f t="shared" si="9"/>
        <v>1.5582034830430729</v>
      </c>
      <c r="C174" s="12">
        <f t="shared" si="10"/>
        <v>0.4784688995215305</v>
      </c>
      <c r="D174" s="12">
        <f t="shared" si="11"/>
        <v>4.600942816150848</v>
      </c>
      <c r="E174" s="2">
        <f t="shared" si="12"/>
        <v>98.44179651695693</v>
      </c>
      <c r="F174" s="2">
        <f t="shared" si="8"/>
        <v>102.28571428571429</v>
      </c>
    </row>
    <row r="175" spans="1:6" ht="11.25">
      <c r="A175" s="14" t="str">
        <f>IF($C$151&gt;14,"70-74",IF($C$151=14,"70+",""))</f>
        <v>70-74</v>
      </c>
      <c r="B175" s="12">
        <f t="shared" si="9"/>
        <v>0</v>
      </c>
      <c r="C175" s="12">
        <f t="shared" si="10"/>
        <v>0</v>
      </c>
      <c r="D175" s="12">
        <f t="shared" si="11"/>
        <v>2.860426929392446</v>
      </c>
      <c r="E175" s="2">
        <f t="shared" si="12"/>
        <v>100</v>
      </c>
      <c r="F175" s="2">
        <f t="shared" si="8"/>
        <v>99.42528735632185</v>
      </c>
    </row>
    <row r="176" spans="1:6" ht="11.25">
      <c r="A176" s="14" t="str">
        <f>IF($C$151&gt;15,"75-79",IF($C$151=15,"75+",""))</f>
        <v>75+</v>
      </c>
      <c r="D176" s="12"/>
      <c r="E176" s="2">
        <f t="shared" si="12"/>
        <v>100</v>
      </c>
      <c r="F176" s="2">
        <f t="shared" si="8"/>
        <v>91.53005464480874</v>
      </c>
    </row>
    <row r="177" spans="1:4" ht="11.25">
      <c r="A177" s="14">
        <f>IF($C$151=16,"80+","")</f>
      </c>
      <c r="D177" s="12"/>
    </row>
    <row r="178" spans="1:4" ht="11.25">
      <c r="A178" s="6" t="s">
        <v>3</v>
      </c>
      <c r="B178" s="6" t="s">
        <v>3</v>
      </c>
      <c r="C178" s="6" t="s">
        <v>3</v>
      </c>
      <c r="D178" s="6" t="s">
        <v>3</v>
      </c>
    </row>
    <row r="179" ht="11.25">
      <c r="A179" s="2" t="s">
        <v>95</v>
      </c>
    </row>
    <row r="180" spans="1:3" ht="11.25">
      <c r="A180" s="2" t="s">
        <v>96</v>
      </c>
      <c r="C180" s="2">
        <f>TRUNC(MINA(F161:F176)/10)*10</f>
        <v>90</v>
      </c>
    </row>
    <row r="181" spans="1:3" ht="11.25">
      <c r="A181" s="2" t="s">
        <v>97</v>
      </c>
      <c r="C181" s="2">
        <f>TRUNC(MINA(E162:E176)/10)*10</f>
        <v>90</v>
      </c>
    </row>
  </sheetData>
  <sheetProtection sheet="1" objects="1" scenarios="1"/>
  <printOptions/>
  <pageMargins left="0.5" right="0.5" top="0.5" bottom="0.5" header="0.3" footer="0.3"/>
  <pageSetup horizontalDpi="300" verticalDpi="300" orientation="portrait" scale="95" r:id="rId1"/>
  <headerFooter alignWithMargins="0">
    <oddHeader>&amp;R&amp;"Courier New,Regular"&amp;F</oddHeader>
    <oddFooter>&amp;L&amp;"Courier New,Regular"U.S. BUREAU OF THE CENSUS PAS: AGESEX.XLS VER 4.01  &amp;D  PAGE &amp;P</oddFooter>
  </headerFooter>
  <rowBreaks count="1" manualBreakCount="1">
    <brk id="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Johnson</dc:creator>
  <cp:keywords/>
  <dc:description/>
  <cp:lastModifiedBy>Peter Johnson</cp:lastModifiedBy>
  <dcterms:created xsi:type="dcterms:W3CDTF">2004-05-28T11:46:41Z</dcterms:created>
  <dcterms:modified xsi:type="dcterms:W3CDTF">2004-05-28T11:47:06Z</dcterms:modified>
  <cp:category/>
  <cp:version/>
  <cp:contentType/>
  <cp:contentStatus/>
</cp:coreProperties>
</file>